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bc\ldv\Documents\Лахтионов\ДОУ на 250 мест\отделка\тендер 1, 2, 3 этажи\"/>
    </mc:Choice>
  </mc:AlternateContent>
  <xr:revisionPtr revIDLastSave="0" documentId="13_ncr:1_{470BED1B-5181-4D64-8910-BC78FC4FF17A}" xr6:coauthVersionLast="47" xr6:coauthVersionMax="47" xr10:uidLastSave="{00000000-0000-0000-0000-000000000000}"/>
  <bookViews>
    <workbookView xWindow="-120" yWindow="-120" windowWidth="38640" windowHeight="23520" tabRatio="796" xr2:uid="{00000000-000D-0000-FFFF-FFFF00000000}"/>
  </bookViews>
  <sheets>
    <sheet name="ДОУ 6 кв" sheetId="6" r:id="rId1"/>
  </sheets>
  <definedNames>
    <definedName name="_xlnm.Print_Area" localSheetId="0">'ДОУ 6 кв'!$A$1:$CQ$148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17" i="6" l="1"/>
  <c r="AT117" i="6"/>
  <c r="AU117" i="6"/>
  <c r="AV117" i="6"/>
  <c r="AW117" i="6"/>
  <c r="AX117" i="6"/>
  <c r="AY117" i="6"/>
  <c r="AZ117" i="6"/>
  <c r="BA117" i="6"/>
  <c r="BC117" i="6"/>
  <c r="BD117" i="6"/>
  <c r="BE117" i="6"/>
  <c r="BF117" i="6"/>
  <c r="BH117" i="6"/>
  <c r="BI117" i="6"/>
  <c r="BK117" i="6"/>
  <c r="BL117" i="6"/>
  <c r="CK107" i="6" l="1"/>
  <c r="CK104" i="6" l="1"/>
  <c r="CK102" i="6"/>
  <c r="X119" i="6"/>
  <c r="Y119" i="6"/>
  <c r="Z119" i="6"/>
  <c r="AB119" i="6"/>
  <c r="AC119" i="6"/>
  <c r="AE119" i="6"/>
  <c r="AF119" i="6"/>
  <c r="AG119" i="6"/>
  <c r="AH119" i="6"/>
  <c r="AI119" i="6"/>
  <c r="AQ119" i="6"/>
  <c r="AR119" i="6"/>
  <c r="AT119" i="6"/>
  <c r="AU119" i="6"/>
  <c r="AV119" i="6"/>
  <c r="AW119" i="6"/>
  <c r="AX119" i="6"/>
  <c r="AY119" i="6"/>
  <c r="AZ119" i="6"/>
  <c r="BD119" i="6"/>
  <c r="BE119" i="6"/>
  <c r="BF119" i="6"/>
  <c r="BH119" i="6"/>
  <c r="BI119" i="6"/>
  <c r="BL119" i="6"/>
  <c r="BG75" i="6"/>
  <c r="BB75" i="6"/>
  <c r="AK117" i="6"/>
  <c r="AJ117" i="6"/>
  <c r="AK116" i="6"/>
  <c r="AJ116" i="6"/>
  <c r="BJ67" i="6"/>
  <c r="BP117" i="6"/>
  <c r="BZ67" i="6"/>
  <c r="BO26" i="6"/>
  <c r="E134" i="6"/>
  <c r="F134" i="6"/>
  <c r="G134" i="6"/>
  <c r="H134" i="6"/>
  <c r="I134" i="6"/>
  <c r="J134" i="6"/>
  <c r="K134" i="6"/>
  <c r="L134" i="6"/>
  <c r="M134" i="6"/>
  <c r="N134" i="6"/>
  <c r="O134" i="6"/>
  <c r="P134" i="6"/>
  <c r="Q134" i="6"/>
  <c r="R134" i="6"/>
  <c r="S134" i="6"/>
  <c r="T134" i="6"/>
  <c r="U134" i="6"/>
  <c r="V134" i="6"/>
  <c r="W134" i="6"/>
  <c r="Y134" i="6"/>
  <c r="AA134" i="6"/>
  <c r="AB134" i="6"/>
  <c r="AD134" i="6"/>
  <c r="AF134" i="6"/>
  <c r="AJ134" i="6"/>
  <c r="AK134" i="6"/>
  <c r="AM134" i="6"/>
  <c r="AN134" i="6"/>
  <c r="AO134" i="6"/>
  <c r="AP134" i="6"/>
  <c r="AQ134" i="6"/>
  <c r="AR134" i="6"/>
  <c r="AT134" i="6"/>
  <c r="AU134" i="6"/>
  <c r="AV134" i="6"/>
  <c r="BA134" i="6"/>
  <c r="BB134" i="6"/>
  <c r="BC134" i="6"/>
  <c r="BD134" i="6"/>
  <c r="BE134" i="6"/>
  <c r="BF134" i="6"/>
  <c r="BG134" i="6"/>
  <c r="BH134" i="6"/>
  <c r="BI134" i="6"/>
  <c r="BJ134" i="6"/>
  <c r="BL134" i="6"/>
  <c r="BM134" i="6"/>
  <c r="BO134" i="6"/>
  <c r="BP134" i="6"/>
  <c r="BS134" i="6"/>
  <c r="BV134" i="6"/>
  <c r="BX134" i="6"/>
  <c r="BY134" i="6"/>
  <c r="BZ134" i="6"/>
  <c r="CA134" i="6"/>
  <c r="CB134" i="6"/>
  <c r="CJ116" i="6"/>
  <c r="CJ114" i="6"/>
  <c r="CI116" i="6"/>
  <c r="CI114" i="6"/>
  <c r="CH114" i="6"/>
  <c r="CH116" i="6"/>
  <c r="CD116" i="6"/>
  <c r="CD114" i="6"/>
  <c r="BN115" i="6"/>
  <c r="BN120" i="6" s="1"/>
  <c r="BN119" i="6" s="1"/>
  <c r="CF116" i="6"/>
  <c r="CF114" i="6"/>
  <c r="CB116" i="6"/>
  <c r="CB117" i="6"/>
  <c r="CA117" i="6"/>
  <c r="CA116" i="6"/>
  <c r="BZ116" i="6"/>
  <c r="BZ120" i="6" s="1"/>
  <c r="BZ119" i="6" s="1"/>
  <c r="BY116" i="6"/>
  <c r="BY117" i="6"/>
  <c r="BX117" i="6"/>
  <c r="BX116" i="6"/>
  <c r="BW116" i="6"/>
  <c r="BW122" i="6" s="1"/>
  <c r="CK122" i="6" s="1"/>
  <c r="BV117" i="6"/>
  <c r="BV116" i="6"/>
  <c r="BU115" i="6"/>
  <c r="BU120" i="6" s="1"/>
  <c r="BU119" i="6" s="1"/>
  <c r="BT115" i="6"/>
  <c r="BT120" i="6" s="1"/>
  <c r="BT119" i="6" s="1"/>
  <c r="BS117" i="6"/>
  <c r="BS116" i="6"/>
  <c r="BR115" i="6"/>
  <c r="BR121" i="6" s="1"/>
  <c r="BR119" i="6" s="1"/>
  <c r="BQ115" i="6"/>
  <c r="BQ121" i="6" s="1"/>
  <c r="BQ119" i="6" s="1"/>
  <c r="BP115" i="6"/>
  <c r="BO115" i="6"/>
  <c r="BO120" i="6" s="1"/>
  <c r="BO119" i="6" s="1"/>
  <c r="BM117" i="6"/>
  <c r="BM116" i="6"/>
  <c r="BL116" i="6"/>
  <c r="CK144" i="6"/>
  <c r="CK145" i="6"/>
  <c r="CK143" i="6"/>
  <c r="CK142" i="6"/>
  <c r="CK141" i="6"/>
  <c r="CK140" i="6"/>
  <c r="CK139" i="6"/>
  <c r="CK138" i="6"/>
  <c r="AY133" i="6"/>
  <c r="AY134" i="6" s="1"/>
  <c r="AZ133" i="6"/>
  <c r="AZ134" i="6" s="1"/>
  <c r="AW133" i="6"/>
  <c r="AW134" i="6" s="1"/>
  <c r="AX133" i="6"/>
  <c r="AX134" i="6" s="1"/>
  <c r="AT135" i="6"/>
  <c r="AV135" i="6"/>
  <c r="CH133" i="6"/>
  <c r="CH134" i="6" s="1"/>
  <c r="AS133" i="6"/>
  <c r="AS134" i="6" s="1"/>
  <c r="BK133" i="6"/>
  <c r="BK134" i="6" s="1"/>
  <c r="CG133" i="6"/>
  <c r="CG134" i="6" s="1"/>
  <c r="CJ133" i="6"/>
  <c r="CJ134" i="6" s="1"/>
  <c r="CF133" i="6"/>
  <c r="CF134" i="6" s="1"/>
  <c r="AL133" i="6"/>
  <c r="AL134" i="6" s="1"/>
  <c r="BN133" i="6"/>
  <c r="BN134" i="6" s="1"/>
  <c r="BR133" i="6"/>
  <c r="BR134" i="6" s="1"/>
  <c r="BQ133" i="6"/>
  <c r="BQ134" i="6" s="1"/>
  <c r="BU133" i="6"/>
  <c r="BU134" i="6" s="1"/>
  <c r="CE133" i="6"/>
  <c r="CE134" i="6" s="1"/>
  <c r="CI133" i="6"/>
  <c r="CI134" i="6" s="1"/>
  <c r="BT133" i="6"/>
  <c r="BT134" i="6" s="1"/>
  <c r="X133" i="6"/>
  <c r="X134" i="6" s="1"/>
  <c r="AE133" i="6"/>
  <c r="AE134" i="6" s="1"/>
  <c r="AC133" i="6"/>
  <c r="AC134" i="6" s="1"/>
  <c r="Z133" i="6"/>
  <c r="Z134" i="6" s="1"/>
  <c r="AH133" i="6"/>
  <c r="AH134" i="6" s="1"/>
  <c r="AI133" i="6"/>
  <c r="AI134" i="6" s="1"/>
  <c r="AG133" i="6"/>
  <c r="AG134" i="6" s="1"/>
  <c r="D133" i="6"/>
  <c r="D134" i="6" s="1"/>
  <c r="CC133" i="6"/>
  <c r="CC134" i="6" s="1"/>
  <c r="CD133" i="6"/>
  <c r="CD134" i="6" s="1"/>
  <c r="BW133" i="6"/>
  <c r="BW134" i="6" s="1"/>
  <c r="BP120" i="6" l="1"/>
  <c r="BP119" i="6" s="1"/>
  <c r="AJ120" i="6"/>
  <c r="AJ119" i="6" s="1"/>
  <c r="AK120" i="6"/>
  <c r="AK119" i="6" s="1"/>
  <c r="CK67" i="6"/>
  <c r="BW119" i="6"/>
  <c r="BX120" i="6"/>
  <c r="BX119" i="6" s="1"/>
  <c r="BY120" i="6"/>
  <c r="BY119" i="6" s="1"/>
  <c r="CF121" i="6"/>
  <c r="CI121" i="6"/>
  <c r="CD121" i="6"/>
  <c r="CK134" i="6"/>
  <c r="CB120" i="6"/>
  <c r="CB119" i="6" s="1"/>
  <c r="CJ121" i="6"/>
  <c r="CH121" i="6"/>
  <c r="CA120" i="6"/>
  <c r="CA119" i="6" s="1"/>
  <c r="CK114" i="6"/>
  <c r="BV120" i="6"/>
  <c r="BV119" i="6" s="1"/>
  <c r="BS120" i="6"/>
  <c r="BS119" i="6" s="1"/>
  <c r="BM120" i="6"/>
  <c r="BM119" i="6" s="1"/>
  <c r="CK133" i="6"/>
  <c r="CK131" i="6" l="1"/>
  <c r="AV136" i="6"/>
  <c r="AT136" i="6"/>
  <c r="BJ135" i="6"/>
  <c r="BJ136" i="6" s="1"/>
  <c r="AW135" i="6"/>
  <c r="AW136" i="6" s="1"/>
  <c r="AX135" i="6"/>
  <c r="AX136" i="6" s="1"/>
  <c r="AZ135" i="6"/>
  <c r="AZ136" i="6" s="1"/>
  <c r="AY135" i="6"/>
  <c r="AY136" i="6" s="1"/>
  <c r="AK135" i="6"/>
  <c r="AK136" i="6" s="1"/>
  <c r="AM135" i="6"/>
  <c r="AM136" i="6" s="1"/>
  <c r="AR135" i="6" l="1"/>
  <c r="AR136" i="6" s="1"/>
  <c r="AQ135" i="6"/>
  <c r="AQ136" i="6" s="1"/>
  <c r="Y135" i="6"/>
  <c r="Y136" i="6" s="1"/>
  <c r="X135" i="6"/>
  <c r="X136" i="6" s="1"/>
  <c r="J135" i="6" l="1"/>
  <c r="J136" i="6" s="1"/>
  <c r="O135" i="6"/>
  <c r="O136" i="6" s="1"/>
  <c r="AG135" i="6"/>
  <c r="AG136" i="6" s="1"/>
  <c r="CE135" i="6"/>
  <c r="CE136" i="6" s="1"/>
  <c r="CG135" i="6"/>
  <c r="CG136" i="6" s="1"/>
  <c r="CC135" i="6"/>
  <c r="CC136" i="6" s="1"/>
  <c r="S135" i="6"/>
  <c r="S136" i="6" s="1"/>
  <c r="T135" i="6"/>
  <c r="T136" i="6" s="1"/>
  <c r="W135" i="6"/>
  <c r="W136" i="6" s="1"/>
  <c r="R135" i="6"/>
  <c r="R136" i="6" s="1"/>
  <c r="N135" i="6"/>
  <c r="N136" i="6" s="1"/>
  <c r="H135" i="6"/>
  <c r="H136" i="6" s="1"/>
  <c r="I135" i="6"/>
  <c r="I136" i="6" s="1"/>
  <c r="M135" i="6"/>
  <c r="M136" i="6" s="1"/>
  <c r="E135" i="6"/>
  <c r="E136" i="6" s="1"/>
  <c r="D135" i="6"/>
  <c r="CK135" i="6" l="1"/>
  <c r="D136" i="6"/>
  <c r="CK136" i="6" s="1"/>
  <c r="CK127" i="6" l="1"/>
  <c r="CK128" i="6"/>
  <c r="AR125" i="6"/>
  <c r="AQ125" i="6"/>
  <c r="AG126" i="6"/>
  <c r="X126" i="6"/>
  <c r="Y126" i="6"/>
  <c r="CG125" i="6"/>
  <c r="CC125" i="6"/>
  <c r="CE125" i="6"/>
  <c r="S125" i="6"/>
  <c r="T125" i="6"/>
  <c r="W125" i="6"/>
  <c r="R125" i="6"/>
  <c r="O125" i="6"/>
  <c r="N125" i="6"/>
  <c r="I125" i="6"/>
  <c r="J125" i="6"/>
  <c r="M125" i="6"/>
  <c r="H125" i="6"/>
  <c r="E125" i="6"/>
  <c r="D125" i="6"/>
  <c r="CK125" i="6" l="1"/>
  <c r="CK126" i="6"/>
  <c r="BI124" i="6"/>
  <c r="BS124" i="6"/>
  <c r="AX124" i="6"/>
  <c r="BC124" i="6"/>
  <c r="BK124" i="6"/>
  <c r="BL124" i="6"/>
  <c r="CA124" i="6"/>
  <c r="AN124" i="6"/>
  <c r="AM124" i="6"/>
  <c r="BP124" i="6"/>
  <c r="AP124" i="6"/>
  <c r="AA124" i="6"/>
  <c r="AD124" i="6"/>
  <c r="X124" i="6"/>
  <c r="AF124" i="6"/>
  <c r="R124" i="6"/>
  <c r="L124" i="6"/>
  <c r="K124" i="6"/>
  <c r="F124" i="6"/>
  <c r="G124" i="6"/>
  <c r="BV124" i="6"/>
  <c r="U124" i="6"/>
  <c r="W124" i="6"/>
  <c r="P124" i="6"/>
  <c r="Q124" i="6"/>
  <c r="BX124" i="6"/>
  <c r="CE124" i="6"/>
  <c r="D124" i="6"/>
  <c r="J124" i="6"/>
  <c r="CK124" i="6" l="1"/>
  <c r="AZ116" i="6" l="1"/>
  <c r="D115" i="6"/>
  <c r="CK98" i="6"/>
  <c r="BX61" i="6"/>
  <c r="BX62" i="6" s="1"/>
  <c r="BX64" i="6" s="1"/>
  <c r="BX65" i="6" s="1"/>
  <c r="BX66" i="6" s="1"/>
  <c r="BF70" i="6"/>
  <c r="BF71" i="6" s="1"/>
  <c r="BF73" i="6" s="1"/>
  <c r="BF74" i="6" s="1"/>
  <c r="BI70" i="6"/>
  <c r="BI71" i="6" s="1"/>
  <c r="BI73" i="6" s="1"/>
  <c r="BI74" i="6" s="1"/>
  <c r="BG70" i="6"/>
  <c r="BG71" i="6" s="1"/>
  <c r="BG72" i="6" s="1"/>
  <c r="BG74" i="6" s="1"/>
  <c r="BL70" i="6"/>
  <c r="BL71" i="6" s="1"/>
  <c r="BL72" i="6" s="1"/>
  <c r="BL74" i="6" s="1"/>
  <c r="BA70" i="6"/>
  <c r="BA71" i="6" s="1"/>
  <c r="BA72" i="6" s="1"/>
  <c r="BA74" i="6" s="1"/>
  <c r="BB70" i="6"/>
  <c r="BB71" i="6" s="1"/>
  <c r="BB72" i="6" s="1"/>
  <c r="BB74" i="6" s="1"/>
  <c r="BZ61" i="6"/>
  <c r="BZ62" i="6" s="1"/>
  <c r="BZ63" i="6" s="1"/>
  <c r="BZ65" i="6" s="1"/>
  <c r="BZ66" i="6" s="1"/>
  <c r="CB61" i="6"/>
  <c r="CB62" i="6" s="1"/>
  <c r="CB64" i="6" s="1"/>
  <c r="CB65" i="6" s="1"/>
  <c r="CB66" i="6" s="1"/>
  <c r="CA61" i="6"/>
  <c r="CA62" i="6" s="1"/>
  <c r="CA64" i="6" s="1"/>
  <c r="CA65" i="6" s="1"/>
  <c r="CA66" i="6" s="1"/>
  <c r="BK60" i="6"/>
  <c r="BK61" i="6" s="1"/>
  <c r="BK62" i="6" s="1"/>
  <c r="BK64" i="6" s="1"/>
  <c r="BK65" i="6" s="1"/>
  <c r="BK66" i="6" s="1"/>
  <c r="BD60" i="6"/>
  <c r="BD61" i="6" s="1"/>
  <c r="BD62" i="6" s="1"/>
  <c r="BD64" i="6" s="1"/>
  <c r="BD65" i="6" s="1"/>
  <c r="BD66" i="6" s="1"/>
  <c r="BC60" i="6"/>
  <c r="BC61" i="6" s="1"/>
  <c r="BC62" i="6" s="1"/>
  <c r="BC64" i="6" s="1"/>
  <c r="BC65" i="6" s="1"/>
  <c r="BC66" i="6" s="1"/>
  <c r="BJ61" i="6"/>
  <c r="BJ62" i="6" s="1"/>
  <c r="BJ63" i="6" s="1"/>
  <c r="BJ65" i="6" s="1"/>
  <c r="BJ66" i="6" s="1"/>
  <c r="CK52" i="6"/>
  <c r="BE53" i="6"/>
  <c r="BE54" i="6" s="1"/>
  <c r="BE55" i="6" s="1"/>
  <c r="BE56" i="6" s="1"/>
  <c r="BE57" i="6" s="1"/>
  <c r="BE58" i="6" s="1"/>
  <c r="AZ53" i="6"/>
  <c r="AZ54" i="6" s="1"/>
  <c r="AZ55" i="6" s="1"/>
  <c r="AZ56" i="6" s="1"/>
  <c r="AZ57" i="6" s="1"/>
  <c r="AZ58" i="6" s="1"/>
  <c r="AY53" i="6"/>
  <c r="AY54" i="6" s="1"/>
  <c r="AY55" i="6" s="1"/>
  <c r="AY56" i="6" s="1"/>
  <c r="AY57" i="6" s="1"/>
  <c r="AY58" i="6" s="1"/>
  <c r="AX53" i="6"/>
  <c r="AX54" i="6" s="1"/>
  <c r="AX55" i="6" s="1"/>
  <c r="AX56" i="6" s="1"/>
  <c r="AX57" i="6" s="1"/>
  <c r="AX58" i="6" s="1"/>
  <c r="AW53" i="6"/>
  <c r="AW54" i="6" s="1"/>
  <c r="AW55" i="6" s="1"/>
  <c r="AW56" i="6" s="1"/>
  <c r="AW57" i="6" s="1"/>
  <c r="AW58" i="6" s="1"/>
  <c r="AV53" i="6"/>
  <c r="AV54" i="6" s="1"/>
  <c r="AV55" i="6" s="1"/>
  <c r="AV56" i="6" s="1"/>
  <c r="AV57" i="6" s="1"/>
  <c r="AV58" i="6" s="1"/>
  <c r="AT53" i="6"/>
  <c r="AT54" i="6" s="1"/>
  <c r="AT55" i="6" s="1"/>
  <c r="AT56" i="6" s="1"/>
  <c r="AT57" i="6" s="1"/>
  <c r="AT58" i="6" s="1"/>
  <c r="AS53" i="6"/>
  <c r="AS54" i="6" s="1"/>
  <c r="AS55" i="6" s="1"/>
  <c r="AS56" i="6" s="1"/>
  <c r="AS57" i="6" s="1"/>
  <c r="AS58" i="6" s="1"/>
  <c r="CK73" i="6" l="1"/>
  <c r="BH45" i="6"/>
  <c r="BH46" i="6" s="1"/>
  <c r="BH47" i="6" s="1"/>
  <c r="BH49" i="6" s="1"/>
  <c r="BH50" i="6" s="1"/>
  <c r="AU44" i="6"/>
  <c r="CK44" i="6" s="1"/>
  <c r="AD29" i="6"/>
  <c r="AD31" i="6" s="1"/>
  <c r="AD32" i="6" s="1"/>
  <c r="AA28" i="6"/>
  <c r="AA29" i="6" s="1"/>
  <c r="X28" i="6"/>
  <c r="X29" i="6" s="1"/>
  <c r="X30" i="6" s="1"/>
  <c r="X32" i="6" s="1"/>
  <c r="G130" i="6"/>
  <c r="CK130" i="6" s="1"/>
  <c r="BK116" i="6"/>
  <c r="BJ116" i="6"/>
  <c r="BJ120" i="6" s="1"/>
  <c r="BJ119" i="6" s="1"/>
  <c r="BI116" i="6"/>
  <c r="AU116" i="6"/>
  <c r="BH116" i="6"/>
  <c r="BG116" i="6"/>
  <c r="BG120" i="6" s="1"/>
  <c r="BG119" i="6" s="1"/>
  <c r="BF116" i="6"/>
  <c r="BE116" i="6"/>
  <c r="BD116" i="6"/>
  <c r="BC116" i="6"/>
  <c r="BB116" i="6"/>
  <c r="BB121" i="6" s="1"/>
  <c r="BB119" i="6" s="1"/>
  <c r="BA116" i="6"/>
  <c r="AY116" i="6"/>
  <c r="AX116" i="6"/>
  <c r="AW116" i="6"/>
  <c r="AV116" i="6"/>
  <c r="AT116" i="6"/>
  <c r="AS116" i="6"/>
  <c r="AU45" i="6" l="1"/>
  <c r="AU46" i="6" s="1"/>
  <c r="AU47" i="6" s="1"/>
  <c r="AU49" i="6" s="1"/>
  <c r="AU50" i="6" s="1"/>
  <c r="AD34" i="6"/>
  <c r="AD35" i="6" s="1"/>
  <c r="AA31" i="6"/>
  <c r="AS120" i="6"/>
  <c r="AS119" i="6" s="1"/>
  <c r="BK120" i="6"/>
  <c r="BK119" i="6" s="1"/>
  <c r="BA120" i="6"/>
  <c r="BA119" i="6" s="1"/>
  <c r="BC120" i="6"/>
  <c r="BC119" i="6" s="1"/>
  <c r="W115" i="6"/>
  <c r="W120" i="6" s="1"/>
  <c r="W119" i="6" s="1"/>
  <c r="V116" i="6"/>
  <c r="U116" i="6"/>
  <c r="T115" i="6"/>
  <c r="T120" i="6" s="1"/>
  <c r="T119" i="6" s="1"/>
  <c r="S115" i="6"/>
  <c r="S120" i="6" s="1"/>
  <c r="S119" i="6" s="1"/>
  <c r="R115" i="6"/>
  <c r="R120" i="6" s="1"/>
  <c r="R119" i="6" s="1"/>
  <c r="Q116" i="6"/>
  <c r="P116" i="6"/>
  <c r="O115" i="6"/>
  <c r="O120" i="6" s="1"/>
  <c r="O119" i="6" s="1"/>
  <c r="N115" i="6"/>
  <c r="N120" i="6" s="1"/>
  <c r="N119" i="6" s="1"/>
  <c r="V117" i="6"/>
  <c r="U117" i="6"/>
  <c r="Q117" i="6"/>
  <c r="P117" i="6"/>
  <c r="M115" i="6"/>
  <c r="M120" i="6" s="1"/>
  <c r="M119" i="6" s="1"/>
  <c r="L117" i="6"/>
  <c r="L116" i="6"/>
  <c r="K117" i="6"/>
  <c r="K116" i="6"/>
  <c r="J115" i="6"/>
  <c r="J120" i="6" s="1"/>
  <c r="J119" i="6" s="1"/>
  <c r="I115" i="6"/>
  <c r="I120" i="6" s="1"/>
  <c r="I119" i="6" s="1"/>
  <c r="G116" i="6"/>
  <c r="H118" i="6"/>
  <c r="CK118" i="6" s="1"/>
  <c r="AA32" i="6" l="1"/>
  <c r="AA34" i="6"/>
  <c r="AA35" i="6" s="1"/>
  <c r="CK31" i="6"/>
  <c r="V120" i="6"/>
  <c r="V119" i="6" s="1"/>
  <c r="L120" i="6"/>
  <c r="L119" i="6" s="1"/>
  <c r="Q120" i="6"/>
  <c r="Q119" i="6" s="1"/>
  <c r="U120" i="6"/>
  <c r="U119" i="6" s="1"/>
  <c r="P120" i="6"/>
  <c r="P119" i="6" s="1"/>
  <c r="K120" i="6"/>
  <c r="K119" i="6" s="1"/>
  <c r="H115" i="6"/>
  <c r="H120" i="6" s="1"/>
  <c r="H119" i="6" s="1"/>
  <c r="G117" i="6"/>
  <c r="G120" i="6" s="1"/>
  <c r="G119" i="6" s="1"/>
  <c r="F117" i="6"/>
  <c r="F116" i="6"/>
  <c r="E115" i="6"/>
  <c r="D120" i="6"/>
  <c r="D119" i="6" s="1"/>
  <c r="AN115" i="6"/>
  <c r="AN120" i="6" s="1"/>
  <c r="AN119" i="6" s="1"/>
  <c r="AL117" i="6"/>
  <c r="AL116" i="6"/>
  <c r="AM116" i="6"/>
  <c r="AM117" i="6"/>
  <c r="AP117" i="6"/>
  <c r="AP116" i="6"/>
  <c r="AO117" i="6"/>
  <c r="AO116" i="6"/>
  <c r="AR116" i="6"/>
  <c r="AR117" i="6" s="1"/>
  <c r="AQ116" i="6"/>
  <c r="AQ117" i="6" s="1"/>
  <c r="AI116" i="6"/>
  <c r="AI117" i="6" s="1"/>
  <c r="AG116" i="6"/>
  <c r="AG117" i="6" s="1"/>
  <c r="AH116" i="6"/>
  <c r="AH117" i="6" s="1"/>
  <c r="AF116" i="6"/>
  <c r="AF117" i="6" s="1"/>
  <c r="AE116" i="6"/>
  <c r="AE117" i="6" s="1"/>
  <c r="Z116" i="6"/>
  <c r="Z117" i="6" s="1"/>
  <c r="X116" i="6"/>
  <c r="X117" i="6" s="1"/>
  <c r="AD116" i="6"/>
  <c r="AC116" i="6"/>
  <c r="AC117" i="6" s="1"/>
  <c r="AA116" i="6"/>
  <c r="AD117" i="6"/>
  <c r="AB116" i="6"/>
  <c r="AB117" i="6" s="1"/>
  <c r="AA117" i="6"/>
  <c r="Y116" i="6"/>
  <c r="Y117" i="6" s="1"/>
  <c r="CE106" i="6"/>
  <c r="CG106" i="6"/>
  <c r="CC106" i="6"/>
  <c r="BW112" i="6"/>
  <c r="CF112" i="6"/>
  <c r="BR110" i="6"/>
  <c r="BQ110" i="6"/>
  <c r="CJ110" i="6"/>
  <c r="CD110" i="6"/>
  <c r="BN110" i="6"/>
  <c r="BN109" i="6"/>
  <c r="CH110" i="6"/>
  <c r="CH109" i="6"/>
  <c r="AN99" i="6"/>
  <c r="H99" i="6"/>
  <c r="F99" i="6"/>
  <c r="CG115" i="6"/>
  <c r="CG121" i="6" s="1"/>
  <c r="CG119" i="6" s="1"/>
  <c r="CE115" i="6"/>
  <c r="CE121" i="6" s="1"/>
  <c r="CE119" i="6" s="1"/>
  <c r="CC115" i="6"/>
  <c r="CC121" i="6" s="1"/>
  <c r="CC119" i="6" s="1"/>
  <c r="BT75" i="6"/>
  <c r="BT69" i="6"/>
  <c r="BT70" i="6" s="1"/>
  <c r="BT71" i="6" s="1"/>
  <c r="BT72" i="6" s="1"/>
  <c r="BT74" i="6" s="1"/>
  <c r="CG90" i="6"/>
  <c r="CC90" i="6"/>
  <c r="CE90" i="6"/>
  <c r="CG95" i="6"/>
  <c r="CG92" i="6"/>
  <c r="CG93" i="6" s="1"/>
  <c r="CG94" i="6" s="1"/>
  <c r="CC95" i="6"/>
  <c r="CC92" i="6"/>
  <c r="CE92" i="6"/>
  <c r="CE93" i="6" s="1"/>
  <c r="CE94" i="6" s="1"/>
  <c r="CG88" i="6"/>
  <c r="CG89" i="6" s="1"/>
  <c r="CC88" i="6"/>
  <c r="CE95" i="6"/>
  <c r="CE88" i="6"/>
  <c r="CE89" i="6" s="1"/>
  <c r="CE84" i="6"/>
  <c r="CG86" i="6"/>
  <c r="CG85" i="6"/>
  <c r="CG84" i="6"/>
  <c r="CE86" i="6"/>
  <c r="CE85" i="6"/>
  <c r="CT84" i="6"/>
  <c r="CC86" i="6"/>
  <c r="CC85" i="6"/>
  <c r="CC84" i="6"/>
  <c r="CG82" i="6"/>
  <c r="CG77" i="6"/>
  <c r="CG78" i="6" s="1"/>
  <c r="CG79" i="6" s="1"/>
  <c r="CG80" i="6" s="1"/>
  <c r="CG81" i="6" s="1"/>
  <c r="CE82" i="6"/>
  <c r="CE77" i="6"/>
  <c r="CE78" i="6" s="1"/>
  <c r="CE79" i="6" s="1"/>
  <c r="CE80" i="6" s="1"/>
  <c r="CE81" i="6" s="1"/>
  <c r="CC77" i="6"/>
  <c r="CC78" i="6" s="1"/>
  <c r="CC79" i="6" s="1"/>
  <c r="CC80" i="6" s="1"/>
  <c r="CC81" i="6" s="1"/>
  <c r="CC82" i="6"/>
  <c r="CK115" i="6" l="1"/>
  <c r="CK117" i="6"/>
  <c r="CK121" i="6"/>
  <c r="E120" i="6"/>
  <c r="E119" i="6" s="1"/>
  <c r="CK116" i="6"/>
  <c r="CK99" i="6"/>
  <c r="CK95" i="6"/>
  <c r="F120" i="6"/>
  <c r="F119" i="6" s="1"/>
  <c r="AL120" i="6"/>
  <c r="AL119" i="6" s="1"/>
  <c r="AO120" i="6"/>
  <c r="AO119" i="6" s="1"/>
  <c r="AA120" i="6"/>
  <c r="AA119" i="6" s="1"/>
  <c r="AM120" i="6"/>
  <c r="AM119" i="6" s="1"/>
  <c r="AP120" i="6"/>
  <c r="AP119" i="6" s="1"/>
  <c r="AD120" i="6"/>
  <c r="AD119" i="6" s="1"/>
  <c r="CK109" i="6"/>
  <c r="CK106" i="6"/>
  <c r="CK110" i="6"/>
  <c r="CK112" i="6"/>
  <c r="CK84" i="6"/>
  <c r="CK90" i="6"/>
  <c r="CK88" i="6"/>
  <c r="CK86" i="6"/>
  <c r="CK92" i="6"/>
  <c r="CC89" i="6"/>
  <c r="CK89" i="6" s="1"/>
  <c r="CC93" i="6"/>
  <c r="CK85" i="6"/>
  <c r="CK119" i="6" l="1"/>
  <c r="CK120" i="6"/>
  <c r="CC94" i="6"/>
  <c r="CK94" i="6" s="1"/>
  <c r="CK93" i="6"/>
  <c r="CJ82" i="6"/>
  <c r="CJ77" i="6"/>
  <c r="CJ78" i="6" s="1"/>
  <c r="CJ79" i="6" s="1"/>
  <c r="CJ80" i="6" s="1"/>
  <c r="CJ81" i="6" s="1"/>
  <c r="CI82" i="6"/>
  <c r="CI78" i="6"/>
  <c r="CI79" i="6" s="1"/>
  <c r="CI80" i="6" s="1"/>
  <c r="CI81" i="6" s="1"/>
  <c r="CH82" i="6"/>
  <c r="CH77" i="6"/>
  <c r="CH78" i="6" s="1"/>
  <c r="CF82" i="6"/>
  <c r="CF78" i="6"/>
  <c r="CF79" i="6" s="1"/>
  <c r="CF80" i="6" s="1"/>
  <c r="CF81" i="6" s="1"/>
  <c r="CD82" i="6"/>
  <c r="CD77" i="6"/>
  <c r="CD78" i="6" s="1"/>
  <c r="CD79" i="6" s="1"/>
  <c r="CD80" i="6" s="1"/>
  <c r="CD81" i="6" s="1"/>
  <c r="AJ70" i="6"/>
  <c r="AJ71" i="6" s="1"/>
  <c r="AJ72" i="6" s="1"/>
  <c r="AJ74" i="6" s="1"/>
  <c r="AM53" i="6"/>
  <c r="AL45" i="6"/>
  <c r="AL46" i="6" s="1"/>
  <c r="AL47" i="6" s="1"/>
  <c r="AL49" i="6" s="1"/>
  <c r="AN75" i="6"/>
  <c r="AN70" i="6"/>
  <c r="AN71" i="6" s="1"/>
  <c r="AN72" i="6" s="1"/>
  <c r="AN74" i="6" s="1"/>
  <c r="AK70" i="6"/>
  <c r="AK71" i="6" s="1"/>
  <c r="AK72" i="6" s="1"/>
  <c r="AK74" i="6" s="1"/>
  <c r="BR82" i="6"/>
  <c r="BQ82" i="6"/>
  <c r="BN82" i="6"/>
  <c r="BR78" i="6"/>
  <c r="BR79" i="6" s="1"/>
  <c r="BR80" i="6" s="1"/>
  <c r="BR81" i="6" s="1"/>
  <c r="BQ78" i="6"/>
  <c r="BQ79" i="6" s="1"/>
  <c r="BQ80" i="6" s="1"/>
  <c r="BQ81" i="6" s="1"/>
  <c r="BN77" i="6"/>
  <c r="BN78" i="6" s="1"/>
  <c r="BN79" i="6" s="1"/>
  <c r="BN80" i="6" s="1"/>
  <c r="BN81" i="6" s="1"/>
  <c r="BS61" i="6"/>
  <c r="BS62" i="6" s="1"/>
  <c r="BS64" i="6" s="1"/>
  <c r="BS65" i="6" s="1"/>
  <c r="BS66" i="6" s="1"/>
  <c r="BO21" i="6"/>
  <c r="BO22" i="6" s="1"/>
  <c r="BO23" i="6" s="1"/>
  <c r="BP65" i="6"/>
  <c r="BP61" i="6"/>
  <c r="BP62" i="6" s="1"/>
  <c r="CK36" i="6"/>
  <c r="CK37" i="6"/>
  <c r="AO69" i="6"/>
  <c r="AO70" i="6" s="1"/>
  <c r="AO71" i="6" s="1"/>
  <c r="AO72" i="6" s="1"/>
  <c r="AO74" i="6" s="1"/>
  <c r="AP61" i="6"/>
  <c r="AP62" i="6" s="1"/>
  <c r="AP64" i="6" s="1"/>
  <c r="AP65" i="6" s="1"/>
  <c r="AQ45" i="6"/>
  <c r="AQ46" i="6" s="1"/>
  <c r="AQ48" i="6" s="1"/>
  <c r="AR26" i="6"/>
  <c r="AR21" i="6"/>
  <c r="AR22" i="6" s="1"/>
  <c r="AR23" i="6" s="1"/>
  <c r="AR24" i="6" l="1"/>
  <c r="AR25" i="6" s="1"/>
  <c r="BO24" i="6"/>
  <c r="BO25" i="6" s="1"/>
  <c r="AM54" i="6"/>
  <c r="CK53" i="6"/>
  <c r="AQ49" i="6"/>
  <c r="AQ50" i="6" s="1"/>
  <c r="CK48" i="6"/>
  <c r="CK82" i="6"/>
  <c r="CH79" i="6"/>
  <c r="CH80" i="6" s="1"/>
  <c r="CH81" i="6" s="1"/>
  <c r="CK81" i="6" s="1"/>
  <c r="CK78" i="6"/>
  <c r="CK77" i="6"/>
  <c r="AL50" i="6"/>
  <c r="BP66" i="6"/>
  <c r="AP66" i="6"/>
  <c r="P45" i="6"/>
  <c r="P46" i="6" s="1"/>
  <c r="P47" i="6" s="1"/>
  <c r="P49" i="6" s="1"/>
  <c r="P50" i="6" s="1"/>
  <c r="U45" i="6"/>
  <c r="U46" i="6" s="1"/>
  <c r="U47" i="6" s="1"/>
  <c r="U49" i="6" s="1"/>
  <c r="U50" i="6" s="1"/>
  <c r="K45" i="6"/>
  <c r="K46" i="6" s="1"/>
  <c r="K47" i="6" s="1"/>
  <c r="K49" i="6" s="1"/>
  <c r="K50" i="6" s="1"/>
  <c r="F45" i="6"/>
  <c r="V38" i="6"/>
  <c r="V39" i="6" s="1"/>
  <c r="V40" i="6" s="1"/>
  <c r="V41" i="6" s="1"/>
  <c r="V42" i="6" s="1"/>
  <c r="Q38" i="6"/>
  <c r="Q39" i="6" s="1"/>
  <c r="Q40" i="6" s="1"/>
  <c r="Q41" i="6" s="1"/>
  <c r="Q42" i="6" s="1"/>
  <c r="L38" i="6"/>
  <c r="L39" i="6" s="1"/>
  <c r="L40" i="6" s="1"/>
  <c r="L41" i="6" s="1"/>
  <c r="L42" i="6" s="1"/>
  <c r="G38" i="6"/>
  <c r="BV61" i="6"/>
  <c r="BV62" i="6" s="1"/>
  <c r="BV63" i="6" s="1"/>
  <c r="BV65" i="6" s="1"/>
  <c r="BV66" i="6" s="1"/>
  <c r="BY61" i="6"/>
  <c r="BY62" i="6" s="1"/>
  <c r="BY63" i="6" s="1"/>
  <c r="BY65" i="6" s="1"/>
  <c r="BY66" i="6" s="1"/>
  <c r="BM60" i="6"/>
  <c r="BM61" i="6" s="1"/>
  <c r="BM62" i="6" s="1"/>
  <c r="BM63" i="6" s="1"/>
  <c r="BM65" i="6" s="1"/>
  <c r="BM66" i="6" s="1"/>
  <c r="W26" i="6"/>
  <c r="S26" i="6"/>
  <c r="R26" i="6"/>
  <c r="W21" i="6"/>
  <c r="W22" i="6" s="1"/>
  <c r="W23" i="6" s="1"/>
  <c r="S21" i="6"/>
  <c r="S22" i="6" s="1"/>
  <c r="S23" i="6" s="1"/>
  <c r="R21" i="6"/>
  <c r="R22" i="6" s="1"/>
  <c r="R23" i="6" s="1"/>
  <c r="N26" i="6"/>
  <c r="N21" i="6"/>
  <c r="N22" i="6" s="1"/>
  <c r="N23" i="6" s="1"/>
  <c r="I26" i="6"/>
  <c r="M26" i="6"/>
  <c r="M20" i="6"/>
  <c r="M21" i="6" s="1"/>
  <c r="M22" i="6" s="1"/>
  <c r="M23" i="6" s="1"/>
  <c r="I21" i="6"/>
  <c r="I22" i="6" s="1"/>
  <c r="I23" i="6" s="1"/>
  <c r="H26" i="6"/>
  <c r="H21" i="6"/>
  <c r="H22" i="6" s="1"/>
  <c r="H23" i="6" s="1"/>
  <c r="D26" i="6"/>
  <c r="D20" i="6"/>
  <c r="E15" i="6"/>
  <c r="AC32" i="6"/>
  <c r="AC30" i="6"/>
  <c r="AC29" i="6"/>
  <c r="AC28" i="6"/>
  <c r="Z32" i="6"/>
  <c r="Z30" i="6"/>
  <c r="Z29" i="6"/>
  <c r="Z28" i="6"/>
  <c r="Y28" i="6"/>
  <c r="AB28" i="6"/>
  <c r="AB29" i="6" s="1"/>
  <c r="AB30" i="6" s="1"/>
  <c r="AI66" i="6"/>
  <c r="AI65" i="6"/>
  <c r="AI63" i="6"/>
  <c r="AI62" i="6"/>
  <c r="AI61" i="6"/>
  <c r="AI60" i="6"/>
  <c r="AH66" i="6"/>
  <c r="AH65" i="6"/>
  <c r="AH63" i="6"/>
  <c r="AH62" i="6"/>
  <c r="AH61" i="6"/>
  <c r="AH60" i="6"/>
  <c r="AG66" i="6"/>
  <c r="AG63" i="6"/>
  <c r="AG62" i="6"/>
  <c r="AG61" i="6"/>
  <c r="AF66" i="6"/>
  <c r="AF65" i="6"/>
  <c r="AF62" i="6"/>
  <c r="AF64" i="6" s="1"/>
  <c r="CK64" i="6" s="1"/>
  <c r="AF61" i="6"/>
  <c r="AF60" i="6"/>
  <c r="AE62" i="6"/>
  <c r="AE61" i="6"/>
  <c r="BW75" i="6"/>
  <c r="CK75" i="6" s="1"/>
  <c r="BW69" i="6"/>
  <c r="BW70" i="6" s="1"/>
  <c r="T15" i="6"/>
  <c r="T14" i="6"/>
  <c r="T13" i="6"/>
  <c r="T12" i="6"/>
  <c r="O15" i="6"/>
  <c r="O14" i="6"/>
  <c r="O13" i="6"/>
  <c r="O12" i="6"/>
  <c r="J15" i="6"/>
  <c r="J14" i="6"/>
  <c r="J13" i="6"/>
  <c r="J12" i="6"/>
  <c r="E14" i="6"/>
  <c r="E13" i="6"/>
  <c r="E12" i="6"/>
  <c r="E16" i="6"/>
  <c r="O18" i="6"/>
  <c r="O16" i="6"/>
  <c r="O17" i="6" s="1"/>
  <c r="J18" i="6"/>
  <c r="J16" i="6"/>
  <c r="J17" i="6" s="1"/>
  <c r="T18" i="6"/>
  <c r="T16" i="6"/>
  <c r="T17" i="6" s="1"/>
  <c r="E18" i="6"/>
  <c r="S24" i="6" l="1"/>
  <c r="S25" i="6" s="1"/>
  <c r="R24" i="6"/>
  <c r="R25" i="6" s="1"/>
  <c r="W24" i="6"/>
  <c r="W25" i="6" s="1"/>
  <c r="H24" i="6"/>
  <c r="H25" i="6" s="1"/>
  <c r="I24" i="6"/>
  <c r="I25" i="6" s="1"/>
  <c r="M24" i="6"/>
  <c r="M25" i="6" s="1"/>
  <c r="N24" i="6"/>
  <c r="N25" i="6" s="1"/>
  <c r="AM55" i="6"/>
  <c r="CK54" i="6"/>
  <c r="CK32" i="6"/>
  <c r="CK28" i="6"/>
  <c r="AB33" i="6"/>
  <c r="AB34" i="6" s="1"/>
  <c r="AB35" i="6" s="1"/>
  <c r="CK80" i="6"/>
  <c r="CK79" i="6"/>
  <c r="CK18" i="6"/>
  <c r="CK60" i="6"/>
  <c r="E17" i="6"/>
  <c r="CK17" i="6" s="1"/>
  <c r="CK16" i="6"/>
  <c r="CK26" i="6"/>
  <c r="CK12" i="6"/>
  <c r="AE63" i="6"/>
  <c r="CK62" i="6"/>
  <c r="CK69" i="6"/>
  <c r="D21" i="6"/>
  <c r="CK20" i="6"/>
  <c r="CK61" i="6"/>
  <c r="CK14" i="6"/>
  <c r="G39" i="6"/>
  <c r="CK38" i="6"/>
  <c r="F46" i="6"/>
  <c r="CK45" i="6"/>
  <c r="CK13" i="6"/>
  <c r="BW71" i="6"/>
  <c r="CK70" i="6"/>
  <c r="Y29" i="6"/>
  <c r="CK29" i="6" s="1"/>
  <c r="CK15" i="6"/>
  <c r="CN4" i="6" l="1"/>
  <c r="AM56" i="6"/>
  <c r="CK55" i="6"/>
  <c r="Y30" i="6"/>
  <c r="AE65" i="6"/>
  <c r="CK63" i="6"/>
  <c r="BW72" i="6"/>
  <c r="CK71" i="6"/>
  <c r="G40" i="6"/>
  <c r="G41" i="6" s="1"/>
  <c r="G42" i="6" s="1"/>
  <c r="CK39" i="6"/>
  <c r="D22" i="6"/>
  <c r="D23" i="6" s="1"/>
  <c r="CK21" i="6"/>
  <c r="F47" i="6"/>
  <c r="CK46" i="6"/>
  <c r="CK56" i="6" l="1"/>
  <c r="AM57" i="6"/>
  <c r="Y33" i="6"/>
  <c r="CK30" i="6"/>
  <c r="BW74" i="6"/>
  <c r="CK74" i="6" s="1"/>
  <c r="CK72" i="6"/>
  <c r="F49" i="6"/>
  <c r="CK49" i="6" s="1"/>
  <c r="CK47" i="6"/>
  <c r="CK22" i="6"/>
  <c r="CK40" i="6"/>
  <c r="AE66" i="6"/>
  <c r="CK66" i="6" s="1"/>
  <c r="CK65" i="6"/>
  <c r="AM58" i="6" l="1"/>
  <c r="CK58" i="6" s="1"/>
  <c r="CK57" i="6"/>
  <c r="Y34" i="6"/>
  <c r="CK33" i="6"/>
  <c r="F50" i="6"/>
  <c r="CK50" i="6" s="1"/>
  <c r="Y35" i="6" l="1"/>
  <c r="CK35" i="6" s="1"/>
  <c r="CK34" i="6"/>
  <c r="D24" i="6"/>
  <c r="CK23" i="6"/>
  <c r="CK41" i="6"/>
  <c r="CK42" i="6" l="1"/>
  <c r="D25" i="6"/>
  <c r="CK25" i="6" s="1"/>
  <c r="CK24" i="6"/>
</calcChain>
</file>

<file path=xl/sharedStrings.xml><?xml version="1.0" encoding="utf-8"?>
<sst xmlns="http://schemas.openxmlformats.org/spreadsheetml/2006/main" count="512" uniqueCount="322">
  <si>
    <t>Медицинский кабинет</t>
  </si>
  <si>
    <t>Группа помещений пищеблока</t>
  </si>
  <si>
    <t>Загрузочная</t>
  </si>
  <si>
    <t>Кладовая овощей</t>
  </si>
  <si>
    <t>Моечная кухонной посуды</t>
  </si>
  <si>
    <t>ПОЛ</t>
  </si>
  <si>
    <t>Душевая персонала</t>
  </si>
  <si>
    <t>Кладовая сухих продуктов</t>
  </si>
  <si>
    <t>Коридор</t>
  </si>
  <si>
    <t>Душевая</t>
  </si>
  <si>
    <t>Электрощитовая</t>
  </si>
  <si>
    <t>м2</t>
  </si>
  <si>
    <t>мп</t>
  </si>
  <si>
    <t>СТЕНЫ</t>
  </si>
  <si>
    <t>ПОДОКОННЫЕ ДОСКИ</t>
  </si>
  <si>
    <t>шт.</t>
  </si>
  <si>
    <t>Комната тренера</t>
  </si>
  <si>
    <t>Лифтовой холл</t>
  </si>
  <si>
    <t>1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</si>
  <si>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</si>
  <si>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</si>
  <si>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</si>
  <si>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</si>
  <si>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</si>
  <si>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</si>
  <si>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</si>
  <si>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</si>
  <si>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</si>
  <si>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</si>
  <si>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</si>
  <si>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</si>
  <si>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</si>
  <si>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</si>
  <si>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1.16</t>
  </si>
  <si>
    <t>2</t>
  </si>
  <si>
    <t>3</t>
  </si>
  <si>
    <t>4</t>
  </si>
  <si>
    <t>5</t>
  </si>
  <si>
    <t>6</t>
  </si>
  <si>
    <t>7</t>
  </si>
  <si>
    <t>8</t>
  </si>
  <si>
    <t>Стоимость за м2:</t>
  </si>
  <si>
    <t>Общая стоимость:</t>
  </si>
  <si>
    <t>Площадь  отделки пола:</t>
  </si>
  <si>
    <t>руб.</t>
  </si>
  <si>
    <t>Групповая ячейка №1 (от 1 до 2 лет)</t>
  </si>
  <si>
    <t xml:space="preserve">Спальня </t>
  </si>
  <si>
    <t xml:space="preserve">Игровая </t>
  </si>
  <si>
    <t xml:space="preserve">Буфетная </t>
  </si>
  <si>
    <t>Санузел</t>
  </si>
  <si>
    <t>Раздевальная</t>
  </si>
  <si>
    <t>Групповая ячейка №2 (от 2 до 3 лет)</t>
  </si>
  <si>
    <t>1.15</t>
  </si>
  <si>
    <t>1.17</t>
  </si>
  <si>
    <t>1.18</t>
  </si>
  <si>
    <t>1.19</t>
  </si>
  <si>
    <t>1.20</t>
  </si>
  <si>
    <t>Групповая ячейка №3 (от 2 до 3 лет)</t>
  </si>
  <si>
    <t>Групповая ячейка №4 (от 1 до 2 лет)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</si>
  <si>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</si>
  <si>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</si>
  <si>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</si>
  <si>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</si>
  <si>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</si>
  <si>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</si>
  <si>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</si>
  <si>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</si>
  <si>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</si>
  <si>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</si>
  <si>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</si>
  <si>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</si>
  <si>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</si>
  <si>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Зал бассейна</t>
  </si>
  <si>
    <t>Санузел с душевой</t>
  </si>
  <si>
    <t>Комната медсестры</t>
  </si>
  <si>
    <t>Инвентарная</t>
  </si>
  <si>
    <t>Лаборатория анализа воды</t>
  </si>
  <si>
    <t xml:space="preserve">Помещения бассейна </t>
  </si>
  <si>
    <t>1.34</t>
  </si>
  <si>
    <t>1.35</t>
  </si>
  <si>
    <t>1.36</t>
  </si>
  <si>
    <t>1.37</t>
  </si>
  <si>
    <t>Помещения постирочной</t>
  </si>
  <si>
    <t>Кладовая чистого белья</t>
  </si>
  <si>
    <t>Гладильня</t>
  </si>
  <si>
    <t>Сортировочная грязного белья</t>
  </si>
  <si>
    <t>Стиральня</t>
  </si>
  <si>
    <t>1.38</t>
  </si>
  <si>
    <t>1.39</t>
  </si>
  <si>
    <t>1.40</t>
  </si>
  <si>
    <t>1.41</t>
  </si>
  <si>
    <t>Медицинский пункт</t>
  </si>
  <si>
    <t>Санузел с местом приготовления дез.растворов</t>
  </si>
  <si>
    <t>Процедурный кабинет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</si>
  <si>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</si>
  <si>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</si>
  <si>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</si>
  <si>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</si>
  <si>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</si>
  <si>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</si>
  <si>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</si>
  <si>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</si>
  <si>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</si>
  <si>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</si>
  <si>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</si>
  <si>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</si>
  <si>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</si>
  <si>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</si>
  <si>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</si>
  <si>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</si>
  <si>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</si>
  <si>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1.59</t>
  </si>
  <si>
    <t>1.60</t>
  </si>
  <si>
    <t>1.61</t>
  </si>
  <si>
    <t>1.85</t>
  </si>
  <si>
    <t>Цех первичной обработки овощей</t>
  </si>
  <si>
    <t>Помещения хранения пищевых отходов</t>
  </si>
  <si>
    <t>Цех вторичной обработки овощей</t>
  </si>
  <si>
    <t>Мясо -рыбный цех с участками обработки яиц</t>
  </si>
  <si>
    <t>Холодный цех</t>
  </si>
  <si>
    <t>Горячий цех</t>
  </si>
  <si>
    <t xml:space="preserve">Раздаточная </t>
  </si>
  <si>
    <t>Гардеробная персонала</t>
  </si>
  <si>
    <t xml:space="preserve">Туалет персонала </t>
  </si>
  <si>
    <t>Помещение холодильных камер</t>
  </si>
  <si>
    <t>Помещения для мойки и хранения обменной тары</t>
  </si>
  <si>
    <t>Кабинет заведущей производством</t>
  </si>
  <si>
    <t>Кладовая уборочного инвентаря</t>
  </si>
  <si>
    <t>Общие помещения</t>
  </si>
  <si>
    <t>1.62</t>
  </si>
  <si>
    <t>1.63</t>
  </si>
  <si>
    <t>1.64</t>
  </si>
  <si>
    <t>1.65</t>
  </si>
  <si>
    <t>1.66</t>
  </si>
  <si>
    <t>1.67</t>
  </si>
  <si>
    <t>1.68</t>
  </si>
  <si>
    <t>1.69</t>
  </si>
  <si>
    <t>1.70</t>
  </si>
  <si>
    <t>ПУИ</t>
  </si>
  <si>
    <t>Тамбур входной</t>
  </si>
  <si>
    <t>ОДЕЛКА ДОУ 1 ЭТАЖ</t>
  </si>
  <si>
    <t>Помещение охраны</t>
  </si>
  <si>
    <t>Санузел охраны</t>
  </si>
  <si>
    <t>Вестибюль</t>
  </si>
  <si>
    <t>Детский санузел</t>
  </si>
  <si>
    <t>Комната личной гигиены</t>
  </si>
  <si>
    <t>1.71</t>
  </si>
  <si>
    <t>1.72</t>
  </si>
  <si>
    <t>1.73</t>
  </si>
  <si>
    <t>1.74</t>
  </si>
  <si>
    <t>1.75</t>
  </si>
  <si>
    <t>1.76</t>
  </si>
  <si>
    <t>1.77</t>
  </si>
  <si>
    <t>1.78</t>
  </si>
  <si>
    <t>1.79</t>
  </si>
  <si>
    <t>1.80</t>
  </si>
  <si>
    <t>1.81</t>
  </si>
  <si>
    <t>1.82</t>
  </si>
  <si>
    <t>1.83</t>
  </si>
  <si>
    <t>1.84</t>
  </si>
  <si>
    <t>Санузел персонала</t>
  </si>
  <si>
    <t>Санузел МГН</t>
  </si>
  <si>
    <t>Гардероб тех.персонала</t>
  </si>
  <si>
    <t>Лестинца №1</t>
  </si>
  <si>
    <t>Плинтус ПВХ КМ2</t>
  </si>
  <si>
    <t>пароизоляция - полиэтиленовая пленка 150 мкм</t>
  </si>
  <si>
    <t>МВП "ТЕХНОФЛОР ПРОФ" δ=50мм</t>
  </si>
  <si>
    <t>Звкукоизоляция Рефом завести на стену на высоту стяжки - 10 мм</t>
  </si>
  <si>
    <r>
      <t xml:space="preserve">Пароизоляция - полиэтиленновая пленка </t>
    </r>
    <r>
      <rPr>
        <b/>
        <sz val="11"/>
        <color theme="1"/>
        <rFont val="Calibri"/>
        <family val="2"/>
        <charset val="204"/>
        <scheme val="minor"/>
      </rPr>
      <t>150 мкм</t>
    </r>
  </si>
  <si>
    <r>
      <t>МВП "ТЕХНОФЛОР ПРОФ" δ=</t>
    </r>
    <r>
      <rPr>
        <b/>
        <sz val="11"/>
        <color theme="1"/>
        <rFont val="Calibri"/>
        <family val="2"/>
        <charset val="204"/>
        <scheme val="minor"/>
      </rPr>
      <t>50мм</t>
    </r>
  </si>
  <si>
    <r>
      <t xml:space="preserve">Финишный ровнитель - </t>
    </r>
    <r>
      <rPr>
        <b/>
        <sz val="11"/>
        <color rgb="FFFF0000"/>
        <rFont val="Calibri"/>
        <family val="2"/>
        <charset val="204"/>
        <scheme val="minor"/>
      </rPr>
      <t>10 мм</t>
    </r>
  </si>
  <si>
    <r>
      <t xml:space="preserve">Пароизоляция - полиэтиленновая пленка </t>
    </r>
    <r>
      <rPr>
        <b/>
        <sz val="11"/>
        <color theme="1"/>
        <rFont val="Calibri"/>
        <family val="2"/>
        <scheme val="minor"/>
      </rPr>
      <t>150 мкм</t>
    </r>
  </si>
  <si>
    <r>
      <t>МВП "ТЕХНОФЛОР ПРОФ" δ=</t>
    </r>
    <r>
      <rPr>
        <b/>
        <sz val="11"/>
        <color theme="1"/>
        <rFont val="Calibri"/>
        <family val="2"/>
        <scheme val="minor"/>
      </rPr>
      <t>50мм</t>
    </r>
  </si>
  <si>
    <r>
      <t xml:space="preserve">Звкукоизоляция Рефом завести на стену на высоту стяжки - </t>
    </r>
    <r>
      <rPr>
        <b/>
        <sz val="11"/>
        <color theme="1"/>
        <rFont val="Calibri"/>
        <family val="2"/>
        <scheme val="minor"/>
      </rPr>
      <t>10 мм</t>
    </r>
  </si>
  <si>
    <r>
      <t>Стяжка цементно-песчаная полусухая М150 с добовлением фиброволокна армированная  сеткой д.4Вр 100х100 -</t>
    </r>
    <r>
      <rPr>
        <b/>
        <sz val="11"/>
        <color theme="1"/>
        <rFont val="Calibri"/>
        <family val="2"/>
        <scheme val="minor"/>
      </rPr>
      <t xml:space="preserve"> 70 мм</t>
    </r>
  </si>
  <si>
    <r>
      <t xml:space="preserve">Гидроизоляция проникающего действия (типа "Лахта", "Кальматрон", "Пенетрон") - </t>
    </r>
    <r>
      <rPr>
        <b/>
        <sz val="11"/>
        <color theme="1"/>
        <rFont val="Calibri"/>
        <family val="2"/>
        <charset val="204"/>
        <scheme val="minor"/>
      </rPr>
      <t>2 мм</t>
    </r>
  </si>
  <si>
    <t>Тип 6 (теплый пол)  трубки  выполняется в разделе ОВ (1.2, 1.7, 1.12, 1.17 - игровые)</t>
  </si>
  <si>
    <r>
      <t>Стяжка цементно-песчаная полусухая М150 с добовлением фиброволокна армированная  сеткой д.4Вр 100х100 -</t>
    </r>
    <r>
      <rPr>
        <b/>
        <sz val="11"/>
        <color rgb="FFFF0000"/>
        <rFont val="Calibri"/>
        <family val="2"/>
        <charset val="204"/>
        <scheme val="minor"/>
      </rPr>
      <t xml:space="preserve"> 76 мм</t>
    </r>
  </si>
  <si>
    <r>
      <t>Тип 11  (</t>
    </r>
    <r>
      <rPr>
        <b/>
        <sz val="11"/>
        <color theme="7" tint="-0.499984740745262"/>
        <rFont val="Calibri"/>
        <family val="2"/>
        <charset val="204"/>
        <scheme val="minor"/>
      </rPr>
      <t>1.4, 1.9, 1.14, 1.19 - санузлы ясельная группа)</t>
    </r>
  </si>
  <si>
    <t>2,98</t>
  </si>
  <si>
    <r>
      <t>Стяжка цементно-песчаная полусухая М150 с добовлением фиброволокна армированная  сеткой д.4Вр 100х100 -</t>
    </r>
    <r>
      <rPr>
        <b/>
        <sz val="11"/>
        <color theme="1"/>
        <rFont val="Calibri"/>
        <family val="2"/>
        <scheme val="minor"/>
      </rPr>
      <t xml:space="preserve"> 72 мм</t>
    </r>
  </si>
  <si>
    <t>9</t>
  </si>
  <si>
    <t>10</t>
  </si>
  <si>
    <t>11</t>
  </si>
  <si>
    <t>12</t>
  </si>
  <si>
    <t>13</t>
  </si>
  <si>
    <t>тип 18 Ступени ЛК №1, №2, №3</t>
  </si>
  <si>
    <r>
      <t>Стяжка цементно-песчаная полусухая М150 с добовлением фиброволокна армированная  сеткой д.4Вр 100х100 -</t>
    </r>
    <r>
      <rPr>
        <b/>
        <sz val="11"/>
        <color theme="1"/>
        <rFont val="Calibri"/>
        <family val="2"/>
        <scheme val="minor"/>
      </rPr>
      <t xml:space="preserve"> 42 мм</t>
    </r>
  </si>
  <si>
    <t>Лестинца №2</t>
  </si>
  <si>
    <t>Лестинца №3</t>
  </si>
  <si>
    <t>шт</t>
  </si>
  <si>
    <t>14</t>
  </si>
  <si>
    <t>тип 24 этажная площадка 2, 3, 4 этаж лестницы №1, №2+4,200, +7,800, №3</t>
  </si>
  <si>
    <r>
      <t>Стяжка цементно-песчаная полусухая М150 с добовлением фиброволокна армированная  сеткой д.4Вр 100х100 -</t>
    </r>
    <r>
      <rPr>
        <b/>
        <sz val="11"/>
        <color theme="1"/>
        <rFont val="Calibri"/>
        <family val="2"/>
        <scheme val="minor"/>
      </rPr>
      <t xml:space="preserve"> 92 мм</t>
    </r>
  </si>
  <si>
    <t>Утеплить МВП ТЕХНОФАС - 150 мм</t>
  </si>
  <si>
    <t>Тип 1, Тип 1* (с минватой)</t>
  </si>
  <si>
    <t xml:space="preserve">Тип 2 </t>
  </si>
  <si>
    <t>Тип 5, Тип 5* (с минватой)</t>
  </si>
  <si>
    <t xml:space="preserve">ПОТОЛОК </t>
  </si>
  <si>
    <t>Тип 3 (зона бассейна) пом. 1.21, 1.22, 1.23, 1.24, 1.25, 1.26, 1.27, 1.28, 1.29, 1.30, 1.31, 1.32 - бассейн и прилегающие помещения; 1.53, 1.76 - душевые персонала</t>
  </si>
  <si>
    <t>тип 4</t>
  </si>
  <si>
    <t>тип 8</t>
  </si>
  <si>
    <t>Тип 9*</t>
  </si>
  <si>
    <t>Шпаклевка перед окраской стен</t>
  </si>
  <si>
    <t>Фартук их керамической плитки  на клеевом растворе с затиркой швов (пом. 1.5, 1.10, 1.15, 1.20)</t>
  </si>
  <si>
    <r>
      <t xml:space="preserve">Модульные перегородки с дверями из анадированного алюминевого профиля с заполнением из влагостойкой ламинированной ДСП. Ограждение выполнить высотой 1,2 м от пола, не доходящими до уровня на 0,15 м </t>
    </r>
    <r>
      <rPr>
        <b/>
        <sz val="11"/>
        <color theme="1"/>
        <rFont val="Calibri"/>
        <family val="2"/>
        <charset val="204"/>
        <scheme val="minor"/>
      </rPr>
      <t>(пом. 1.4, 1.9, 1.14, 1.19, 1.29</t>
    </r>
    <r>
      <rPr>
        <sz val="11"/>
        <color theme="1"/>
        <rFont val="Calibri"/>
        <family val="2"/>
        <scheme val="minor"/>
      </rPr>
      <t>)</t>
    </r>
  </si>
  <si>
    <r>
      <t xml:space="preserve">Рефом (с лучеотражающим слоем плотность 30, 1 слой) - </t>
    </r>
    <r>
      <rPr>
        <b/>
        <sz val="11"/>
        <color theme="1"/>
        <rFont val="Calibri"/>
        <family val="2"/>
        <charset val="204"/>
        <scheme val="minor"/>
      </rPr>
      <t>10 мм</t>
    </r>
  </si>
  <si>
    <t>H=150 мм</t>
  </si>
  <si>
    <t>Н=150 мм</t>
  </si>
  <si>
    <r>
      <t xml:space="preserve">Пароизоляция - полиэтиленновая пленка </t>
    </r>
    <r>
      <rPr>
        <b/>
        <sz val="11"/>
        <color theme="1"/>
        <rFont val="Calibri"/>
        <family val="2"/>
        <charset val="204"/>
        <scheme val="minor"/>
      </rPr>
      <t xml:space="preserve">150 мкм </t>
    </r>
    <r>
      <rPr>
        <sz val="11"/>
        <color theme="1"/>
        <rFont val="Calibri"/>
        <family val="2"/>
        <charset val="204"/>
        <scheme val="minor"/>
      </rPr>
      <t xml:space="preserve"> (пом. 1.21, 1.22, 1.23, 1.24, 1.25, 1.26, 1.27)</t>
    </r>
  </si>
  <si>
    <r>
      <t>МВП "ТЕХНОФЛОР ПРОФ" δ=</t>
    </r>
    <r>
      <rPr>
        <b/>
        <sz val="11"/>
        <color theme="1"/>
        <rFont val="Calibri"/>
        <family val="2"/>
        <charset val="204"/>
        <scheme val="minor"/>
      </rPr>
      <t xml:space="preserve">50мм </t>
    </r>
    <r>
      <rPr>
        <sz val="11"/>
        <color theme="1"/>
        <rFont val="Calibri"/>
        <family val="2"/>
        <charset val="204"/>
        <scheme val="minor"/>
      </rPr>
      <t xml:space="preserve">  (пом. 1.21, 1.22, 1.23, 1.24, 1.25, 1.26, 1.27)</t>
    </r>
  </si>
  <si>
    <r>
      <t xml:space="preserve">Звкукоизоляция Рефом завести на стену на высоту стяжки - </t>
    </r>
    <r>
      <rPr>
        <b/>
        <sz val="11"/>
        <color theme="1"/>
        <rFont val="Calibri"/>
        <family val="2"/>
        <charset val="204"/>
        <scheme val="minor"/>
      </rPr>
      <t>10 мм</t>
    </r>
  </si>
  <si>
    <r>
      <t>Пароизоляция - полиэтиленновая Uponor 0,2мм</t>
    </r>
    <r>
      <rPr>
        <b/>
        <sz val="11"/>
        <color theme="1"/>
        <rFont val="Calibri"/>
        <family val="2"/>
        <charset val="204"/>
        <scheme val="minor"/>
      </rPr>
      <t xml:space="preserve"> - 1 слой</t>
    </r>
    <r>
      <rPr>
        <sz val="11"/>
        <color theme="1"/>
        <rFont val="Calibri"/>
        <family val="2"/>
        <charset val="204"/>
        <scheme val="minor"/>
      </rPr>
      <t xml:space="preserve"> (пом. 1.21, 1.22, 1.23, 1.25, 1.26)</t>
    </r>
  </si>
  <si>
    <r>
      <t xml:space="preserve">Звкукоизоляция Рефом завести на стену на высоту стяжки - </t>
    </r>
    <r>
      <rPr>
        <b/>
        <sz val="11"/>
        <color theme="1"/>
        <rFont val="Calibri"/>
        <family val="2"/>
        <charset val="204"/>
        <scheme val="minor"/>
      </rPr>
      <t xml:space="preserve">10 мм </t>
    </r>
    <r>
      <rPr>
        <sz val="11"/>
        <color theme="1"/>
        <rFont val="Calibri"/>
        <family val="2"/>
        <charset val="204"/>
        <scheme val="minor"/>
      </rPr>
      <t>(пом. 1.24, 1.27)</t>
    </r>
  </si>
  <si>
    <t>тип 8, 9, 10</t>
  </si>
  <si>
    <t>тип 10</t>
  </si>
  <si>
    <r>
      <t>Стяжка цементно-песчаная полусухая М150 с добовлением фиброволокна армированная  сеткой д.4Вр 100х100 -</t>
    </r>
    <r>
      <rPr>
        <b/>
        <sz val="11"/>
        <color rgb="FFFF0000"/>
        <rFont val="Calibri"/>
        <family val="2"/>
        <charset val="204"/>
        <scheme val="minor"/>
      </rPr>
      <t xml:space="preserve"> 50-70 мм с разуклонкой</t>
    </r>
  </si>
  <si>
    <t>Тип 13 (1.36-стиральня, 1.42 - загрузочная, 1.43 - цех первичной обработки овощей, 1.45 - цех вторичной обработки овощей, 1.46 - мясорыбный цех, 1.47 - моечная кухонной посуды, 1.48 - холодный цех, 1.49 - горячий цех, 1.54 - помещение холодильных камер)</t>
  </si>
  <si>
    <r>
      <t>Стяжка цементно-песчаная полусухая М150 с добовлением фиброволокна армированная  сеткой д.4Вр 100х100 -</t>
    </r>
    <r>
      <rPr>
        <b/>
        <sz val="11"/>
        <color theme="1"/>
        <rFont val="Calibri"/>
        <family val="2"/>
        <scheme val="minor"/>
      </rPr>
      <t xml:space="preserve"> 50-70 мм с разуклонкой</t>
    </r>
  </si>
  <si>
    <t>Зашивка стояков ВК, ВВ, ОВ ГКВЛ толщ. 12,5мм в один слой по металлическому профилю ПС50/50</t>
  </si>
  <si>
    <r>
      <t xml:space="preserve">Установка </t>
    </r>
    <r>
      <rPr>
        <sz val="11"/>
        <rFont val="Calibri"/>
        <family val="2"/>
        <charset val="204"/>
        <scheme val="minor"/>
      </rPr>
      <t>экранов для радиаторов из ламинированного МДФ</t>
    </r>
    <r>
      <rPr>
        <sz val="11"/>
        <color theme="1"/>
        <rFont val="Calibri"/>
        <family val="2"/>
        <scheme val="minor"/>
      </rPr>
      <t xml:space="preserve"> Н=0,75</t>
    </r>
  </si>
  <si>
    <t>Установка ревизионных люков нажимных под плитку Хаммер "Техно": 300х400 мм скрытый Р-1</t>
  </si>
  <si>
    <t>Установка ревизионных люков нажимных под плитку Хаммер "Техно": 200х300 мм скрытый Р-2</t>
  </si>
  <si>
    <r>
      <t>Модульные перегородки из анадированного алюминевого профиля с заполнением из сэндвич панелей пластик. Ограждение выполнить высотой 1,5 м от пола, не доходящими до уровня на 0,15 м</t>
    </r>
    <r>
      <rPr>
        <b/>
        <sz val="11"/>
        <color theme="1"/>
        <rFont val="Calibri"/>
        <family val="2"/>
        <charset val="204"/>
        <scheme val="minor"/>
      </rPr>
      <t xml:space="preserve"> (пом. 1.23, 1.26)</t>
    </r>
  </si>
  <si>
    <t>САНТЕХНИЧЕСКИЕ ПЕРЕГОРОДКИ  кабинок туалетных и душевых</t>
  </si>
  <si>
    <r>
      <t xml:space="preserve">Гидроизоляция Mapelastic по выровненному основанию на праймер по сетке Mapenet 150 - 3 мм (пом. 1.22, 1.25, 1.24, 1.27 </t>
    </r>
    <r>
      <rPr>
        <sz val="11"/>
        <color rgb="FF00B050"/>
        <rFont val="Calibri"/>
        <family val="2"/>
        <charset val="204"/>
        <scheme val="minor"/>
      </rPr>
      <t>пом. 1.21, 1.23,  1.26 - выполняет другой подрядчик)</t>
    </r>
  </si>
  <si>
    <r>
      <t xml:space="preserve">Установка </t>
    </r>
    <r>
      <rPr>
        <sz val="11"/>
        <rFont val="Calibri"/>
        <family val="2"/>
        <charset val="204"/>
        <scheme val="minor"/>
      </rPr>
      <t xml:space="preserve">экранов для радиаторов из влагостойкго МДФ </t>
    </r>
    <r>
      <rPr>
        <sz val="11"/>
        <color theme="1"/>
        <rFont val="Calibri"/>
        <family val="2"/>
        <scheme val="minor"/>
      </rPr>
      <t>Н=0,75 (для влажных помещений)</t>
    </r>
  </si>
  <si>
    <t>ОТКОСЫ (дверные, оконные)</t>
  </si>
  <si>
    <r>
      <t xml:space="preserve">Окраска оконных откосов краской </t>
    </r>
    <r>
      <rPr>
        <b/>
        <sz val="11"/>
        <color theme="1"/>
        <rFont val="Calibri"/>
        <family val="2"/>
        <charset val="204"/>
        <scheme val="minor"/>
      </rPr>
      <t>КМ1</t>
    </r>
    <r>
      <rPr>
        <sz val="11"/>
        <color theme="1"/>
        <rFont val="Calibri"/>
        <family val="2"/>
        <scheme val="minor"/>
      </rPr>
      <t xml:space="preserve"> за 2 раза , </t>
    </r>
    <r>
      <rPr>
        <b/>
        <sz val="11"/>
        <color theme="1"/>
        <rFont val="Calibri"/>
        <family val="2"/>
        <charset val="204"/>
        <scheme val="minor"/>
      </rPr>
      <t xml:space="preserve">КМ0 </t>
    </r>
    <r>
      <rPr>
        <sz val="11"/>
        <color theme="1"/>
        <rFont val="Calibri"/>
        <family val="2"/>
        <charset val="204"/>
        <scheme val="minor"/>
      </rPr>
      <t>(для лестничных клеток)</t>
    </r>
  </si>
  <si>
    <t>ПД ОК-1 (20х200х1160)</t>
  </si>
  <si>
    <t>ПД ОК-3 (20х200х1770)</t>
  </si>
  <si>
    <t>ПД ОК-5 (20х200х820)</t>
  </si>
  <si>
    <t>ПД В1 (20х200х2140)</t>
  </si>
  <si>
    <t>ПД В6 (20х200х1820)</t>
  </si>
  <si>
    <t>ПД ОК-2 (20х200х2170)</t>
  </si>
  <si>
    <t>ПД ОК9 (20х200х640)</t>
  </si>
  <si>
    <t>ПД ОК8 (20х200х1140)</t>
  </si>
  <si>
    <t>Окраска стен алкидная</t>
  </si>
  <si>
    <t>тип 6, тип 8</t>
  </si>
  <si>
    <r>
      <t>Тип 7 (</t>
    </r>
    <r>
      <rPr>
        <b/>
        <sz val="11"/>
        <color theme="7" tint="-0.499984740745262"/>
        <rFont val="Calibri"/>
        <family val="2"/>
        <charset val="204"/>
        <scheme val="minor"/>
      </rPr>
      <t>1.1, 1.6, 1.11, 1.16 - спальни; 1.5, 1.10, 1.15, 1.20 - рахдевальная;</t>
    </r>
    <r>
      <rPr>
        <b/>
        <sz val="11"/>
        <color theme="1"/>
        <rFont val="Calibri"/>
        <family val="2"/>
        <scheme val="minor"/>
      </rPr>
      <t xml:space="preserve"> 1.41 - медицинский кабинет, 1.63 - помещение охраны)</t>
    </r>
  </si>
  <si>
    <t>Тип  8, (теплый пол)  трубки выполняется в разделе ОВ (1.25, 1.27 - раздевальные, 1.23, 1.26 - душевые без плитки); Тип  9 (теплый пол)  трубки выполняется в разделе ОВ (1.21-зал бассейна) без плитки; тип 10 (1.25, 1.27 - санузел при бассейне)</t>
  </si>
  <si>
    <r>
      <t xml:space="preserve">МВП "ТЕХНОФЛОР ПРОФ" </t>
    </r>
    <r>
      <rPr>
        <b/>
        <sz val="11"/>
        <color theme="1"/>
        <rFont val="Calibri"/>
        <family val="2"/>
        <charset val="204"/>
        <scheme val="minor"/>
      </rPr>
      <t>δ=50мм</t>
    </r>
  </si>
  <si>
    <t>тип 16 (1.62 - тамбур входной, 1.65 - вестибюль, 1.66 - лифтовой холл, 1.77, 1.79, 1.81 - лестница №1, №2, №3 отм.0.000)</t>
  </si>
  <si>
    <t>тип 15 (1.33-кладовая чистого белья, 1.34 - гладильня,  1.37, 1.38 - коридор, 1.71 - электрощитовая, 1.68, 1.69 - коридор) (1.50 -Раздаточная, 1.51 - Гардеробная персонала,  1.55 - Кладовая сухих продуктов, 1.56 - коридор, 1.58- Кладовая овощей, 1.85 - коридор)</t>
  </si>
  <si>
    <r>
      <t xml:space="preserve">Керамогранит на клее  - </t>
    </r>
    <r>
      <rPr>
        <b/>
        <sz val="11"/>
        <color theme="1"/>
        <rFont val="Calibri"/>
        <family val="2"/>
        <scheme val="minor"/>
      </rPr>
      <t>20 мм</t>
    </r>
  </si>
  <si>
    <r>
      <t xml:space="preserve">Керамогранит на клее - 20 </t>
    </r>
    <r>
      <rPr>
        <b/>
        <sz val="11"/>
        <color theme="1"/>
        <rFont val="Calibri"/>
        <family val="2"/>
        <scheme val="minor"/>
      </rPr>
      <t>мм</t>
    </r>
  </si>
  <si>
    <r>
      <t>Керамогранит на клее - 18</t>
    </r>
    <r>
      <rPr>
        <b/>
        <sz val="11"/>
        <color theme="1"/>
        <rFont val="Calibri"/>
        <family val="2"/>
        <scheme val="minor"/>
      </rPr>
      <t xml:space="preserve"> мм</t>
    </r>
  </si>
  <si>
    <r>
      <t>Керамогранит подступенки на клее  - 18</t>
    </r>
    <r>
      <rPr>
        <b/>
        <sz val="11"/>
        <color theme="1"/>
        <rFont val="Calibri"/>
        <family val="2"/>
        <scheme val="minor"/>
      </rPr>
      <t xml:space="preserve"> мм</t>
    </r>
  </si>
  <si>
    <r>
      <t>Керамогранит на клее  - 18</t>
    </r>
    <r>
      <rPr>
        <b/>
        <sz val="11"/>
        <color theme="1"/>
        <rFont val="Calibri"/>
        <family val="2"/>
        <scheme val="minor"/>
      </rPr>
      <t xml:space="preserve"> мм</t>
    </r>
  </si>
  <si>
    <r>
      <t xml:space="preserve">Керамогранит </t>
    </r>
    <r>
      <rPr>
        <b/>
        <sz val="11"/>
        <color rgb="FFFF0000"/>
        <rFont val="Calibri"/>
        <family val="2"/>
        <charset val="204"/>
        <scheme val="minor"/>
      </rPr>
      <t>антискользящий R11</t>
    </r>
    <r>
      <rPr>
        <sz val="11"/>
        <color theme="1"/>
        <rFont val="Calibri"/>
        <family val="2"/>
        <scheme val="minor"/>
      </rPr>
      <t xml:space="preserve"> - 18 мм</t>
    </r>
  </si>
  <si>
    <r>
      <t xml:space="preserve">Стяжка цементно-песчаная полусухая М150 с добовлением фиброволокна армированная  сеткой д.4Вр 100х100 - </t>
    </r>
    <r>
      <rPr>
        <b/>
        <sz val="11"/>
        <color rgb="FFFF0000"/>
        <rFont val="Calibri"/>
        <family val="2"/>
        <charset val="204"/>
        <scheme val="minor"/>
      </rPr>
      <t xml:space="preserve">40-50 мм с разуклонкой </t>
    </r>
  </si>
  <si>
    <t>Тип 12 (1.3, 1.8, 1.13, 1.18 - буфетная), (1.35 - Сортировочная грязного белья; 1.40 - процедурный кабинет; пом. 1.44 - кладовая пищевых отходов, 1.57 - помещение для мойки и хранения обменной тары)</t>
  </si>
  <si>
    <r>
      <t>Стяжка цементно-песчаная полусухая М150 с добовлением фиброволокна армированная  сеткой д.4Вр 100х100 -</t>
    </r>
    <r>
      <rPr>
        <b/>
        <sz val="11"/>
        <color rgb="FFFF0000"/>
        <rFont val="Calibri"/>
        <family val="2"/>
        <charset val="204"/>
        <scheme val="minor"/>
      </rPr>
      <t xml:space="preserve"> 70 мм </t>
    </r>
    <r>
      <rPr>
        <b/>
        <sz val="11"/>
        <rFont val="Calibri"/>
        <family val="2"/>
        <charset val="204"/>
        <scheme val="minor"/>
      </rPr>
      <t>пом. 1.40</t>
    </r>
  </si>
  <si>
    <r>
      <t>Стяжка цементно-песчаная полусухая М150 с добовлением фиброволокна армированная  сеткой д.4Вр 100х100 -</t>
    </r>
    <r>
      <rPr>
        <b/>
        <sz val="11"/>
        <color rgb="FFFF0000"/>
        <rFont val="Calibri"/>
        <family val="2"/>
        <charset val="204"/>
        <scheme val="minor"/>
      </rPr>
      <t xml:space="preserve"> 50-70 мм с разуклонкой </t>
    </r>
    <r>
      <rPr>
        <b/>
        <sz val="11"/>
        <rFont val="Calibri"/>
        <family val="2"/>
        <charset val="204"/>
        <scheme val="minor"/>
      </rPr>
      <t xml:space="preserve"> пом. 1.3, 1.8, 1.13, 1.18, 1.35, 1.44, 1.57</t>
    </r>
  </si>
  <si>
    <r>
      <t xml:space="preserve">Окраска стен моющейся краской </t>
    </r>
    <r>
      <rPr>
        <b/>
        <sz val="11"/>
        <color theme="1"/>
        <rFont val="Calibri"/>
        <family val="2"/>
        <charset val="204"/>
        <scheme val="minor"/>
      </rPr>
      <t>КМ0</t>
    </r>
    <r>
      <rPr>
        <sz val="11"/>
        <color theme="1"/>
        <rFont val="Calibri"/>
        <family val="2"/>
        <scheme val="minor"/>
      </rPr>
      <t xml:space="preserve"> за 2 раза </t>
    </r>
  </si>
  <si>
    <r>
      <t xml:space="preserve">Окраска стен моющейся  краской </t>
    </r>
    <r>
      <rPr>
        <b/>
        <sz val="11"/>
        <color theme="1"/>
        <rFont val="Calibri"/>
        <family val="2"/>
        <charset val="204"/>
        <scheme val="minor"/>
      </rPr>
      <t>КМ1</t>
    </r>
    <r>
      <rPr>
        <sz val="11"/>
        <color theme="1"/>
        <rFont val="Calibri"/>
        <family val="2"/>
        <scheme val="minor"/>
      </rPr>
      <t xml:space="preserve"> за 2 раза </t>
    </r>
  </si>
  <si>
    <r>
      <t xml:space="preserve">Облицовка стен керамическая плитка на клеевом растворе с затиркой швов </t>
    </r>
    <r>
      <rPr>
        <b/>
        <sz val="11"/>
        <color theme="1"/>
        <rFont val="Calibri"/>
        <family val="2"/>
        <charset val="204"/>
        <scheme val="minor"/>
      </rPr>
      <t>помещениях бассейна, душевых, в туалетах (на h=2,1), буфетных (на h=2,1), на всю высоту</t>
    </r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</si>
  <si>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</si>
  <si>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</si>
  <si>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</si>
  <si>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</si>
  <si>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</si>
  <si>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</si>
  <si>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</si>
  <si>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</si>
  <si>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</si>
  <si>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r>
      <t>Жесткие минераловатные плиты типа
Плиты теплоизоляционные из каменной ваты ROCKWOOL ФАСАД БАТТС ОПТИМА –</t>
    </r>
    <r>
      <rPr>
        <b/>
        <sz val="11"/>
        <color theme="1"/>
        <rFont val="Calibri"/>
        <family val="2"/>
        <charset val="204"/>
        <scheme val="minor"/>
      </rPr>
      <t xml:space="preserve"> 150мм</t>
    </r>
    <r>
      <rPr>
        <sz val="11"/>
        <color theme="1"/>
        <rFont val="Calibri"/>
        <family val="2"/>
        <charset val="204"/>
        <scheme val="minor"/>
      </rPr>
      <t xml:space="preserve">
на клеевом составе,  Штукатурка цем-песч. смесями,с
устройством армирующего слоя
стеклосетка щелочестойкая + клей
шпатлевка для армирования
теплоизоляционных плит</t>
    </r>
    <r>
      <rPr>
        <b/>
        <sz val="11"/>
        <color theme="1"/>
        <rFont val="Calibri"/>
        <family val="2"/>
        <charset val="204"/>
        <scheme val="minor"/>
      </rPr>
      <t xml:space="preserve"> (пом. 1.78, 1.80, 1.82, 1.83, 1.84)</t>
    </r>
  </si>
  <si>
    <t>ЗАШИВКА СТОЯКОВ, НИШ, УСТРОЙСТВО РЕВИЗИОННЫХ ЛЮЧКОВ, ПЕРЕГОРОДОК В САН.УЗЛАХ, ЭКРАНЫ НА РАДИАТОРОВ</t>
  </si>
  <si>
    <t>Наименование работ</t>
  </si>
  <si>
    <t>ед. изм.</t>
  </si>
  <si>
    <r>
      <t>Стяжка цементно-песчаная полусухая М150 с добовлением фиброволокна армированная  сеткой д.4Вр 100х100 -</t>
    </r>
    <r>
      <rPr>
        <b/>
        <sz val="11"/>
        <color theme="1"/>
        <rFont val="Calibri"/>
        <family val="2"/>
        <scheme val="minor"/>
      </rPr>
      <t xml:space="preserve"> 50-70 мм с разуклонкой </t>
    </r>
  </si>
  <si>
    <t>Н=120 мм</t>
  </si>
  <si>
    <t xml:space="preserve">тип 17 межэтажные площадки ЛК №1+2.100, +6,000, +9,600; №2+2,400, +6,000; №3 +2.100, +6,000, +9,600; </t>
  </si>
  <si>
    <t>Н=60 мм</t>
  </si>
  <si>
    <r>
      <t xml:space="preserve">Звкукоизоляция Роквул Флор Баттс - </t>
    </r>
    <r>
      <rPr>
        <b/>
        <sz val="11"/>
        <color rgb="FFFF0000"/>
        <rFont val="Calibri"/>
        <family val="2"/>
        <scheme val="minor"/>
      </rPr>
      <t>30 мм</t>
    </r>
  </si>
  <si>
    <r>
      <t>МВП "ТЕХНОФЛОР ПРОФ" δ=</t>
    </r>
    <r>
      <rPr>
        <b/>
        <sz val="11"/>
        <color rgb="FFFF0000"/>
        <rFont val="Calibri"/>
        <family val="2"/>
        <charset val="204"/>
        <scheme val="minor"/>
      </rPr>
      <t>50мм</t>
    </r>
  </si>
  <si>
    <t>Шифр проекта: ДОУ-250-СОК-2-Р-АР</t>
  </si>
  <si>
    <t>Тип 4 (лестничные клетки), Тип 6, Тип 8 (технические помещения пищеблока и постирочной)</t>
  </si>
  <si>
    <t>РАСЧЕТ СТОИМОСТИ</t>
  </si>
  <si>
    <t>Площадь итого, м2</t>
  </si>
  <si>
    <t>Стоимость материалов за ед. руб.</t>
  </si>
  <si>
    <t>Стоимость работы за ед. руб.</t>
  </si>
  <si>
    <t>Стоимость материалов, всего, руб. с НДС 22%</t>
  </si>
  <si>
    <t>Стоимость работы, всего, руб. с НДС 22%</t>
  </si>
  <si>
    <t>Стоимость ИТОГО, руб. с НДС 22%</t>
  </si>
  <si>
    <t>ПРИМЕЧАНИЕ</t>
  </si>
  <si>
    <t xml:space="preserve"> г. Санкт-Петербург, поселок Шушары, Соколиная ул., уч.2, участок 1, ДОУ 250 мест</t>
  </si>
  <si>
    <r>
      <t xml:space="preserve">Стяжка цементно-песчаная полусухая М150 с добовлением фиброволокна армированная сеткой д.4Вр1 100х100 </t>
    </r>
    <r>
      <rPr>
        <sz val="11"/>
        <color rgb="FF00B050"/>
        <rFont val="Calibri"/>
        <family val="2"/>
        <charset val="204"/>
        <scheme val="minor"/>
      </rPr>
      <t xml:space="preserve">(трубы укладывает организация подрядчик по отоплению ) </t>
    </r>
    <r>
      <rPr>
        <sz val="11"/>
        <color theme="1"/>
        <rFont val="Calibri"/>
        <family val="2"/>
        <charset val="204"/>
        <scheme val="minor"/>
      </rPr>
      <t xml:space="preserve">по периметру и в деформационных швах заложить демпфенрую ленту - </t>
    </r>
    <r>
      <rPr>
        <sz val="11"/>
        <color rgb="FFFF0000"/>
        <rFont val="Calibri"/>
        <family val="2"/>
        <charset val="204"/>
        <scheme val="minor"/>
      </rPr>
      <t>78</t>
    </r>
    <r>
      <rPr>
        <b/>
        <sz val="11"/>
        <color rgb="FFFF0000"/>
        <rFont val="Calibri"/>
        <family val="2"/>
        <charset val="204"/>
        <scheme val="minor"/>
      </rPr>
      <t xml:space="preserve"> мм</t>
    </r>
  </si>
  <si>
    <r>
      <t xml:space="preserve">Стяжка цементно-песчаная полусухая М150 с добовлением фиброволокна армированная  сеткой д.4Вр1 100х100 </t>
    </r>
    <r>
      <rPr>
        <sz val="11"/>
        <color rgb="FF00B050"/>
        <rFont val="Calibri"/>
        <family val="2"/>
        <charset val="204"/>
        <scheme val="minor"/>
      </rPr>
      <t>(трубы укладывает организация подрядчик по отоплению пом. 1.21, 1.23,  1.26)</t>
    </r>
    <r>
      <rPr>
        <sz val="11"/>
        <color theme="1"/>
        <rFont val="Calibri"/>
        <family val="2"/>
        <charset val="204"/>
        <scheme val="minor"/>
      </rPr>
      <t xml:space="preserve"> по периметру и в деформационных швах заложить демпферную ленту - </t>
    </r>
    <r>
      <rPr>
        <b/>
        <sz val="11"/>
        <rFont val="Calibri"/>
        <family val="2"/>
        <charset val="204"/>
        <scheme val="minor"/>
      </rPr>
      <t xml:space="preserve">70-85 мм </t>
    </r>
    <r>
      <rPr>
        <sz val="11"/>
        <rFont val="Calibri"/>
        <family val="2"/>
        <charset val="204"/>
        <scheme val="minor"/>
      </rPr>
      <t>(пом. 1.21, 1.23, 1.24, 1.26, 1.27)</t>
    </r>
  </si>
  <si>
    <r>
      <t xml:space="preserve">Стяжка цементно-песчаная полусухая М150 с добовлением фиброволокна армированная  сеткой д.4Вр1 100х100 </t>
    </r>
    <r>
      <rPr>
        <sz val="11"/>
        <color rgb="FF00B050"/>
        <rFont val="Calibri"/>
        <family val="2"/>
        <charset val="204"/>
        <scheme val="minor"/>
      </rPr>
      <t>(трубы укладывает организация подрядчик по отоплению пом. 1.22, 1.25)</t>
    </r>
    <r>
      <rPr>
        <sz val="11"/>
        <color theme="1"/>
        <rFont val="Calibri"/>
        <family val="2"/>
        <charset val="204"/>
        <scheme val="minor"/>
      </rPr>
      <t xml:space="preserve"> по периметру и в деформационных швах заложить демпферную ленту - </t>
    </r>
    <r>
      <rPr>
        <b/>
        <sz val="11"/>
        <rFont val="Calibri"/>
        <family val="2"/>
        <charset val="204"/>
        <scheme val="minor"/>
      </rPr>
      <t xml:space="preserve">85 мм </t>
    </r>
    <r>
      <rPr>
        <sz val="11"/>
        <rFont val="Calibri"/>
        <family val="2"/>
        <charset val="204"/>
        <scheme val="minor"/>
      </rPr>
      <t>(1.22, 1.25)</t>
    </r>
  </si>
  <si>
    <r>
      <t xml:space="preserve">Плитка керамическая антискользящая </t>
    </r>
    <r>
      <rPr>
        <b/>
        <sz val="11"/>
        <color rgb="FFFF0000"/>
        <rFont val="Calibri"/>
        <family val="2"/>
        <charset val="204"/>
        <scheme val="minor"/>
      </rPr>
      <t xml:space="preserve">R11 </t>
    </r>
    <r>
      <rPr>
        <sz val="11"/>
        <color theme="1"/>
        <rFont val="Calibri"/>
        <family val="2"/>
        <scheme val="minor"/>
      </rPr>
      <t>на клее для керамической плитки -</t>
    </r>
    <r>
      <rPr>
        <b/>
        <sz val="11"/>
        <color theme="1"/>
        <rFont val="Calibri"/>
        <family val="2"/>
        <charset val="204"/>
        <scheme val="minor"/>
      </rPr>
      <t xml:space="preserve"> 15 мм </t>
    </r>
    <r>
      <rPr>
        <sz val="11"/>
        <color theme="1"/>
        <rFont val="Calibri"/>
        <family val="2"/>
        <charset val="204"/>
        <scheme val="minor"/>
      </rPr>
      <t>(пом. 1.22, 1.25, 1.24, 1.27;</t>
    </r>
    <r>
      <rPr>
        <sz val="11"/>
        <color rgb="FF00B050"/>
        <rFont val="Calibri"/>
        <family val="2"/>
        <charset val="204"/>
        <scheme val="minor"/>
      </rPr>
      <t>пом. 1.21, 1.23,  1.26 - выполняет другой подрядчик)</t>
    </r>
  </si>
  <si>
    <r>
      <t xml:space="preserve">Звукоизоляция Рефом завести на стену на высоту стяжки - </t>
    </r>
    <r>
      <rPr>
        <b/>
        <sz val="11"/>
        <color theme="1"/>
        <rFont val="Calibri"/>
        <family val="2"/>
        <charset val="204"/>
        <scheme val="minor"/>
      </rPr>
      <t>10 мм</t>
    </r>
  </si>
  <si>
    <t xml:space="preserve">Береза керамик Рамина 412х412 </t>
  </si>
  <si>
    <t>Таркетт Acczent pro</t>
  </si>
  <si>
    <t>Линолеум  гетерогенный на клее - 2 мм</t>
  </si>
  <si>
    <t>Линолеум гетерогенный для теплого водяного пола на клее - 2 мм</t>
  </si>
  <si>
    <t>тип 14 (1.28-комната тренера, 1.29 - санузел с душевой, 1.30- комната медсестры, 1.31 - инвентарная, 1.32 - лаборатория анализа воды, 1.39 - Санузел с местом приготовления дез.растворов, 1.52 - Туалет персонала, 1.53 - Душевая персонала, 1.59 - Кабинет заведущей производством, 1.60 - Кладовая уборочного инвентаря, 1.64 - Санузел охраны, 1.67 - Детский санузел,  1.70 - Комната личной гигиены,1.72, 1.75- Санузел персонала1.73 - санузел МГН, 1.74 - Гардероб тех.персонала, 1.76- Душевая персонала)</t>
  </si>
  <si>
    <t>Плинтус из керамогранита высотой 75мм</t>
  </si>
  <si>
    <t>Альма керамика 600х600</t>
  </si>
  <si>
    <t xml:space="preserve">Альма керамика </t>
  </si>
  <si>
    <r>
      <t xml:space="preserve">Керамогранит </t>
    </r>
    <r>
      <rPr>
        <b/>
        <sz val="11"/>
        <color theme="1"/>
        <rFont val="Calibri"/>
        <family val="2"/>
        <charset val="204"/>
        <scheme val="minor"/>
      </rPr>
      <t>300х600 мм</t>
    </r>
    <r>
      <rPr>
        <sz val="11"/>
        <color theme="1"/>
        <rFont val="Calibri"/>
        <family val="2"/>
        <scheme val="minor"/>
      </rPr>
      <t xml:space="preserve"> ступени </t>
    </r>
    <r>
      <rPr>
        <b/>
        <sz val="11"/>
        <color theme="1"/>
        <rFont val="Calibri"/>
        <family val="2"/>
        <charset val="204"/>
        <scheme val="minor"/>
      </rPr>
      <t>с насечками и фаской</t>
    </r>
    <r>
      <rPr>
        <sz val="11"/>
        <color theme="1"/>
        <rFont val="Calibri"/>
        <family val="2"/>
        <scheme val="minor"/>
      </rPr>
      <t xml:space="preserve"> на клее - </t>
    </r>
    <r>
      <rPr>
        <b/>
        <sz val="11"/>
        <color theme="1"/>
        <rFont val="Calibri"/>
        <family val="2"/>
        <charset val="204"/>
        <scheme val="minor"/>
      </rPr>
      <t>18 мм</t>
    </r>
  </si>
  <si>
    <t>Альма керамика 300*600</t>
  </si>
  <si>
    <t>Плинтус из керамогранита высотой 75 м</t>
  </si>
  <si>
    <t>Подвесной реечный потолок - Рейка А100АТ бел мат ал0,4 в комплекте с гребенкой, уголком и подвесом 0,6м (санузлы)</t>
  </si>
  <si>
    <r>
      <t>Тип 1.Подвесной потолок Armstrong Bioguard Plain 600х600х12мм.</t>
    </r>
    <r>
      <rPr>
        <sz val="11"/>
        <color theme="1"/>
        <rFont val="Calibri"/>
        <family val="2"/>
        <charset val="204"/>
        <scheme val="minor"/>
      </rPr>
      <t xml:space="preserve"> показатели пож.опасности не более Г1, В2, Д2, Т2, Каркас- Т-профиль Албес Евро Т24 оцинк в комплекте с угловым профилем PL19х24, подвесом 0,6м</t>
    </r>
  </si>
  <si>
    <t xml:space="preserve"> Жесткие минераловатные плиты типа
ТЕХНОФАС плотностью 140кг/м3 – 50мм
на клеевом составе
3. Штукатурка цем-песч. смесями,с
устройством армирующего слоя
стеклосетка щелочестойкая + клей
шпатлевка для армирования
теплоизоляционных плит , окраска
краской КМ2 белого цвета
</t>
  </si>
  <si>
    <t xml:space="preserve">Тип 5. Подвесной потолок Панель СМЛ 600х600х6мм, негорючая КМ0, Каркас - Т-профиль Албес Евро Т24 оцинк в комплекте с угловым профилем PL19х24, подвесом 0,6м </t>
  </si>
  <si>
    <t xml:space="preserve">Подвесной потолок - Панели из каменной ваты Rockfon Medicare 600х600х15мм Коррозионностойкий каркас (порошковая окраска).
Комплект подвесной системы:
 - Албес Евро Т24 окрашенный со всех сторон, цвет белый, пристенный уголок PL 19x24 белый окрашенный со всех сторон, нониусные подвесы 0,5м (верхняя часть, шплинты, нижняя часть) </t>
  </si>
  <si>
    <t>Подвесной потолок Armstrong Bioguard Plain 600х600х12мм. показатели пож.опасности не более Г1, В2, Д2, Т2, Каркас- Т-профиль Албес Евро Т24 оцинк в комплекте с угловым профилем PL19х24, подвесом 0,6м</t>
  </si>
  <si>
    <t>КП Петрович</t>
  </si>
  <si>
    <r>
      <t xml:space="preserve">Цементная штукатурка - 20мм,
влагостойкая цементная шпатлевка, окраска
за 2 раза  (Лестничные клетки) </t>
    </r>
    <r>
      <rPr>
        <b/>
        <sz val="11"/>
        <rFont val="Calibri"/>
        <family val="2"/>
        <charset val="204"/>
        <scheme val="minor"/>
      </rPr>
      <t>Краска КМ0</t>
    </r>
    <r>
      <rPr>
        <sz val="11"/>
        <rFont val="Calibri"/>
        <family val="2"/>
        <scheme val="minor"/>
      </rPr>
      <t xml:space="preserve">
</t>
    </r>
  </si>
  <si>
    <t xml:space="preserve">Цементная штукатурка - 20мм,
влагостойкая цементная шпатлевка, окраска
за 2 раза, (показатели
пожарной опасности не более Г1, В2, Д2,
Т2) белого цвета 
</t>
  </si>
  <si>
    <t>Interior Aura Mattlatex</t>
  </si>
  <si>
    <t>Высококачественная гипсовая штукатурка  по маякам стен по стеклотканевой сетке  5*5 - 20мм</t>
  </si>
  <si>
    <t>Высококачественная цементно-песчаная штукатурка с добавками против влаги по маякам,  по стеклотканевой сетке с ячейкой 5х5 - 20мм</t>
  </si>
  <si>
    <t>Грунт G111 ОПТИМИСТ под краску НГ  Краска eskaro W220 ОПТИМИСТ негорючая КМ0</t>
  </si>
  <si>
    <t>Azori 201*505</t>
  </si>
  <si>
    <t>1. Azori 315*630 и 201*505 для зон бассейна, медблока, груп.ячейки, общие помещения.                                                                     2. Керамическая плитка 275х400
Глянец белый Беларусь - для зоны пищеблока, постирочной</t>
  </si>
  <si>
    <t>Зашивка дверных откосов ГВЛ  на клеевую смесь со шпаклевкой сухими строительными смесями типа "КНАУФ" б=2 мм</t>
  </si>
  <si>
    <t>Окраска дверных откосов краской КМ1 за 2 раза, КМ0  за 2 раза  (для ЛК и входных групп)</t>
  </si>
  <si>
    <t>Зашивка оконных откосов ГКЛВ на клеевую смесь со шпаклевкой сухими строительными смесями б=2 мм шириной 150 мм</t>
  </si>
  <si>
    <t>ООО Петрохаус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</si>
</sst>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C00000"/>
      <name val="Calibri"/>
      <family val="2"/>
      <scheme val="minor"/>
    </font>
    <font>
      <b/>
      <sz val="12"/>
      <color rgb="FFC00000"/>
      <name val="Calibri"/>
      <family val="2"/>
      <charset val="204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  <charset val="204"/>
    </font>
    <font>
      <b/>
      <i/>
      <sz val="12"/>
      <name val="Calibri"/>
      <family val="2"/>
      <charset val="204"/>
      <scheme val="minor"/>
    </font>
    <font>
      <i/>
      <sz val="14"/>
      <name val="Calibri"/>
      <family val="2"/>
      <charset val="204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7" tint="-0.499984740745262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AFAE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193">
    <xf numFmtId="0" fontId="0" fillId="0" borderId="0" xfId="0"/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textRotation="90" wrapText="1"/>
    </xf>
    <xf numFmtId="0" fontId="17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164" fontId="17" fillId="0" borderId="0" xfId="0" applyNumberFormat="1" applyFont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8" fillId="8" borderId="1" xfId="0" applyNumberFormat="1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textRotation="90" wrapText="1"/>
    </xf>
    <xf numFmtId="49" fontId="18" fillId="9" borderId="1" xfId="0" applyNumberFormat="1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textRotation="90" wrapText="1"/>
    </xf>
    <xf numFmtId="49" fontId="18" fillId="10" borderId="1" xfId="0" applyNumberFormat="1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textRotation="90" wrapText="1"/>
    </xf>
    <xf numFmtId="0" fontId="18" fillId="11" borderId="1" xfId="0" applyFont="1" applyFill="1" applyBorder="1" applyAlignment="1">
      <alignment horizontal="center" vertical="center" textRotation="90" wrapText="1"/>
    </xf>
    <xf numFmtId="49" fontId="18" fillId="11" borderId="1" xfId="0" applyNumberFormat="1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textRotation="90" wrapText="1"/>
    </xf>
    <xf numFmtId="49" fontId="18" fillId="2" borderId="1" xfId="0" applyNumberFormat="1" applyFont="1" applyFill="1" applyBorder="1" applyAlignment="1">
      <alignment horizontal="center" vertical="center" textRotation="90" wrapText="1"/>
    </xf>
    <xf numFmtId="49" fontId="18" fillId="4" borderId="1" xfId="0" applyNumberFormat="1" applyFont="1" applyFill="1" applyBorder="1" applyAlignment="1">
      <alignment horizontal="center" vertical="center" textRotation="90" wrapText="1"/>
    </xf>
    <xf numFmtId="49" fontId="18" fillId="6" borderId="1" xfId="0" applyNumberFormat="1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left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49" fontId="18" fillId="12" borderId="1" xfId="0" applyNumberFormat="1" applyFont="1" applyFill="1" applyBorder="1" applyAlignment="1">
      <alignment horizontal="center" vertical="center" wrapText="1"/>
    </xf>
    <xf numFmtId="0" fontId="18" fillId="12" borderId="1" xfId="0" applyFont="1" applyFill="1" applyBorder="1" applyAlignment="1">
      <alignment horizontal="center" vertical="center" textRotation="90" wrapText="1"/>
    </xf>
    <xf numFmtId="4" fontId="1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8" fillId="13" borderId="1" xfId="0" applyFont="1" applyFill="1" applyBorder="1" applyAlignment="1">
      <alignment horizontal="center" vertical="center" wrapText="1"/>
    </xf>
    <xf numFmtId="49" fontId="23" fillId="14" borderId="1" xfId="0" applyNumberFormat="1" applyFont="1" applyFill="1" applyBorder="1" applyAlignment="1">
      <alignment horizontal="center" vertical="center" wrapText="1"/>
    </xf>
    <xf numFmtId="0" fontId="23" fillId="14" borderId="1" xfId="0" applyFont="1" applyFill="1" applyBorder="1" applyAlignment="1">
      <alignment horizontal="left" vertical="center" wrapText="1"/>
    </xf>
    <xf numFmtId="0" fontId="23" fillId="14" borderId="1" xfId="0" applyFont="1" applyFill="1" applyBorder="1" applyAlignment="1">
      <alignment horizontal="center" vertical="center" wrapText="1"/>
    </xf>
    <xf numFmtId="0" fontId="18" fillId="14" borderId="1" xfId="0" applyFont="1" applyFill="1" applyBorder="1" applyAlignment="1">
      <alignment horizontal="center" vertical="center" wrapText="1"/>
    </xf>
    <xf numFmtId="0" fontId="12" fillId="14" borderId="1" xfId="0" applyFont="1" applyFill="1" applyBorder="1" applyAlignment="1">
      <alignment horizontal="center" vertical="center" wrapText="1"/>
    </xf>
    <xf numFmtId="4" fontId="18" fillId="14" borderId="1" xfId="0" applyNumberFormat="1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center" vertical="center" wrapText="1"/>
    </xf>
    <xf numFmtId="49" fontId="23" fillId="15" borderId="1" xfId="0" applyNumberFormat="1" applyFont="1" applyFill="1" applyBorder="1" applyAlignment="1">
      <alignment horizontal="center" vertical="center" wrapText="1"/>
    </xf>
    <xf numFmtId="0" fontId="23" fillId="15" borderId="1" xfId="0" applyFont="1" applyFill="1" applyBorder="1" applyAlignment="1">
      <alignment horizontal="left" vertical="center" wrapText="1"/>
    </xf>
    <xf numFmtId="0" fontId="23" fillId="15" borderId="1" xfId="0" applyFont="1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center" vertical="center" wrapText="1"/>
    </xf>
    <xf numFmtId="0" fontId="18" fillId="15" borderId="1" xfId="0" applyFont="1" applyFill="1" applyBorder="1" applyAlignment="1">
      <alignment horizontal="center" vertical="center" wrapText="1"/>
    </xf>
    <xf numFmtId="0" fontId="17" fillId="15" borderId="1" xfId="0" applyFont="1" applyFill="1" applyBorder="1" applyAlignment="1">
      <alignment horizontal="center" vertical="center" wrapText="1"/>
    </xf>
    <xf numFmtId="0" fontId="16" fillId="15" borderId="1" xfId="0" applyFont="1" applyFill="1" applyBorder="1" applyAlignment="1">
      <alignment horizontal="center" vertical="center" wrapText="1"/>
    </xf>
    <xf numFmtId="0" fontId="17" fillId="14" borderId="1" xfId="0" applyFont="1" applyFill="1" applyBorder="1" applyAlignment="1">
      <alignment horizontal="center" vertical="center" wrapText="1"/>
    </xf>
    <xf numFmtId="0" fontId="16" fillId="14" borderId="1" xfId="0" applyFont="1" applyFill="1" applyBorder="1" applyAlignment="1">
      <alignment horizontal="center" vertical="center" wrapText="1"/>
    </xf>
    <xf numFmtId="49" fontId="18" fillId="14" borderId="1" xfId="0" applyNumberFormat="1" applyFont="1" applyFill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4" fontId="12" fillId="14" borderId="1" xfId="0" applyNumberFormat="1" applyFont="1" applyFill="1" applyBorder="1" applyAlignment="1">
      <alignment horizontal="center" vertical="center" wrapText="1"/>
    </xf>
    <xf numFmtId="49" fontId="14" fillId="16" borderId="1" xfId="0" applyNumberFormat="1" applyFont="1" applyFill="1" applyBorder="1" applyAlignment="1">
      <alignment horizontal="center" vertical="center" wrapText="1"/>
    </xf>
    <xf numFmtId="0" fontId="14" fillId="16" borderId="1" xfId="0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 wrapText="1"/>
    </xf>
    <xf numFmtId="0" fontId="12" fillId="16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12" fillId="17" borderId="1" xfId="0" applyNumberFormat="1" applyFont="1" applyFill="1" applyBorder="1" applyAlignment="1">
      <alignment horizontal="center" vertical="center" wrapText="1"/>
    </xf>
    <xf numFmtId="0" fontId="12" fillId="17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49" fontId="18" fillId="6" borderId="1" xfId="0" applyNumberFormat="1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18" borderId="0" xfId="0" applyFont="1" applyFill="1" applyAlignment="1">
      <alignment horizontal="center" vertical="center" wrapText="1"/>
    </xf>
    <xf numFmtId="0" fontId="12" fillId="15" borderId="0" xfId="0" applyFont="1" applyFill="1" applyAlignment="1">
      <alignment horizontal="center" vertical="center" wrapText="1"/>
    </xf>
    <xf numFmtId="0" fontId="12" fillId="16" borderId="0" xfId="0" applyFont="1" applyFill="1" applyAlignment="1">
      <alignment horizontal="center" vertical="center" wrapText="1"/>
    </xf>
    <xf numFmtId="0" fontId="12" fillId="19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0" borderId="0" xfId="0" applyFont="1" applyFill="1" applyAlignment="1">
      <alignment horizontal="center" vertical="center" wrapText="1"/>
    </xf>
    <xf numFmtId="0" fontId="12" fillId="11" borderId="0" xfId="0" applyFont="1" applyFill="1" applyAlignment="1">
      <alignment horizontal="center" vertical="center" wrapText="1"/>
    </xf>
    <xf numFmtId="49" fontId="9" fillId="18" borderId="1" xfId="0" applyNumberFormat="1" applyFont="1" applyFill="1" applyBorder="1" applyAlignment="1">
      <alignment horizontal="center" vertical="center" wrapText="1"/>
    </xf>
    <xf numFmtId="0" fontId="9" fillId="18" borderId="1" xfId="0" applyFont="1" applyFill="1" applyBorder="1" applyAlignment="1">
      <alignment horizontal="center" vertical="center" wrapText="1"/>
    </xf>
    <xf numFmtId="0" fontId="0" fillId="18" borderId="1" xfId="0" applyFill="1" applyBorder="1" applyAlignment="1">
      <alignment horizontal="center" vertical="center" wrapText="1"/>
    </xf>
    <xf numFmtId="0" fontId="12" fillId="18" borderId="1" xfId="0" applyFont="1" applyFill="1" applyBorder="1" applyAlignment="1">
      <alignment horizontal="center" vertical="center" wrapText="1"/>
    </xf>
    <xf numFmtId="0" fontId="12" fillId="21" borderId="1" xfId="0" applyFont="1" applyFill="1" applyBorder="1" applyAlignment="1">
      <alignment horizontal="center" vertical="center" wrapText="1"/>
    </xf>
    <xf numFmtId="0" fontId="9" fillId="21" borderId="1" xfId="0" applyFont="1" applyFill="1" applyBorder="1" applyAlignment="1">
      <alignment horizontal="center" vertical="center" wrapText="1"/>
    </xf>
    <xf numFmtId="0" fontId="0" fillId="21" borderId="1" xfId="0" applyFill="1" applyBorder="1" applyAlignment="1">
      <alignment horizontal="center" vertical="center" wrapText="1"/>
    </xf>
    <xf numFmtId="4" fontId="12" fillId="21" borderId="1" xfId="0" applyNumberFormat="1" applyFont="1" applyFill="1" applyBorder="1" applyAlignment="1">
      <alignment horizontal="center" vertical="center" wrapText="1"/>
    </xf>
    <xf numFmtId="0" fontId="14" fillId="16" borderId="1" xfId="0" applyFont="1" applyFill="1" applyBorder="1" applyAlignment="1">
      <alignment horizontal="left" vertical="center" wrapText="1"/>
    </xf>
    <xf numFmtId="49" fontId="9" fillId="21" borderId="1" xfId="0" applyNumberFormat="1" applyFont="1" applyFill="1" applyBorder="1" applyAlignment="1">
      <alignment horizontal="center" vertical="center" wrapText="1"/>
    </xf>
    <xf numFmtId="49" fontId="9" fillId="22" borderId="1" xfId="0" applyNumberFormat="1" applyFont="1" applyFill="1" applyBorder="1" applyAlignment="1">
      <alignment horizontal="center" vertical="center" wrapText="1"/>
    </xf>
    <xf numFmtId="0" fontId="9" fillId="22" borderId="1" xfId="0" applyFont="1" applyFill="1" applyBorder="1" applyAlignment="1">
      <alignment horizontal="center" vertical="center" wrapText="1"/>
    </xf>
    <xf numFmtId="0" fontId="0" fillId="22" borderId="1" xfId="0" applyFill="1" applyBorder="1" applyAlignment="1">
      <alignment horizontal="center" vertical="center" wrapText="1"/>
    </xf>
    <xf numFmtId="0" fontId="12" fillId="22" borderId="1" xfId="0" applyFont="1" applyFill="1" applyBorder="1" applyAlignment="1">
      <alignment horizontal="center" vertical="center" wrapText="1"/>
    </xf>
    <xf numFmtId="49" fontId="10" fillId="22" borderId="1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4" fontId="12" fillId="2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left" vertical="center" wrapText="1"/>
    </xf>
    <xf numFmtId="0" fontId="18" fillId="14" borderId="1" xfId="0" applyFont="1" applyFill="1" applyBorder="1" applyAlignment="1">
      <alignment horizontal="left" vertical="center" wrapText="1"/>
    </xf>
    <xf numFmtId="0" fontId="10" fillId="13" borderId="1" xfId="0" applyFont="1" applyFill="1" applyBorder="1" applyAlignment="1">
      <alignment horizontal="center" vertical="center" wrapText="1"/>
    </xf>
    <xf numFmtId="165" fontId="10" fillId="13" borderId="1" xfId="0" applyNumberFormat="1" applyFont="1" applyFill="1" applyBorder="1" applyAlignment="1">
      <alignment horizontal="center" vertical="center" wrapText="1"/>
    </xf>
    <xf numFmtId="4" fontId="10" fillId="13" borderId="1" xfId="0" applyNumberFormat="1" applyFont="1" applyFill="1" applyBorder="1" applyAlignment="1">
      <alignment horizontal="center" vertical="center" wrapText="1"/>
    </xf>
    <xf numFmtId="0" fontId="10" fillId="22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30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16" fillId="15" borderId="0" xfId="0" applyFont="1" applyFill="1" applyBorder="1" applyAlignment="1">
      <alignment horizontal="center" vertical="center" wrapText="1"/>
    </xf>
    <xf numFmtId="0" fontId="0" fillId="15" borderId="0" xfId="0" applyFill="1" applyBorder="1" applyAlignment="1">
      <alignment horizontal="left" vertical="center" wrapText="1"/>
    </xf>
    <xf numFmtId="0" fontId="16" fillId="14" borderId="0" xfId="0" applyFont="1" applyFill="1" applyBorder="1" applyAlignment="1">
      <alignment horizontal="center" vertical="center" wrapText="1"/>
    </xf>
    <xf numFmtId="0" fontId="0" fillId="14" borderId="0" xfId="0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top" wrapText="1"/>
    </xf>
    <xf numFmtId="49" fontId="0" fillId="0" borderId="1" xfId="0" applyNumberFormat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49" fontId="14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49" fontId="18" fillId="6" borderId="1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textRotation="90" wrapText="1"/>
    </xf>
    <xf numFmtId="0" fontId="14" fillId="4" borderId="3" xfId="0" applyFont="1" applyFill="1" applyBorder="1" applyAlignment="1">
      <alignment horizontal="center" vertical="center" textRotation="90" wrapText="1"/>
    </xf>
    <xf numFmtId="0" fontId="14" fillId="4" borderId="4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2" fontId="18" fillId="13" borderId="1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</cellXfs>
  <cellStyles count="2">
    <cellStyle name="Обычный" xfId="0" builtinId="0"/>
    <cellStyle name="Обычный 2 2 2" xfId="1" xr:uid="{EE248758-A906-4B1B-84A4-6B9710196F0C}"/>
  </cellStyles>
  <dxfs count="0"/>
  <tableStyles count="0" defaultTableStyle="TableStyleMedium2" defaultPivotStyle="PivotStyleLight16"/>
  <colors>
    <mruColors>
      <color rgb="FF99CCFF"/>
      <color rgb="FF9966FF"/>
      <color rgb="FF0AC1EC"/>
      <color rgb="FFFF99CC"/>
      <color rgb="FFFFFFFF"/>
      <color rgb="FFFF99FF"/>
      <color rgb="FF66FF99"/>
      <color rgb="FF00FF00"/>
      <color rgb="FFFFFF00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663AD-6593-4EA6-B7D1-2B2825A30D4C}">
  <sheetPr>
    <pageSetUpPr fitToPage="1"/>
  </sheetPr>
  <dimension ref="A1:CU153"/>
  <sheetViews>
    <sheetView tabSelected="1" view="pageBreakPreview" zoomScale="115" zoomScaleNormal="90" zoomScaleSheetLayoutView="115" workbookViewId="0">
      <pane xSplit="2" ySplit="9" topLeftCell="C10" activePane="bottomRight" state="frozen"/>
      <selection pane="topRight" activeCell="C1" sqref="C1"/>
      <selection pane="bottomLeft" activeCell="A5" sqref="A5"/>
      <selection pane="bottomRight" activeCell="CL131" sqref="CL131"/>
    </sheetView>
  </sheetViews>
  <sheetFormatPr defaultRowHeight="15.75" x14ac:dyDescent="0.25"/>
  <cols>
    <col min="1" max="1" width="8.7109375" style="16" customWidth="1"/>
    <col min="2" max="2" width="58.7109375" style="1" customWidth="1"/>
    <col min="3" max="3" width="6" style="4" customWidth="1"/>
    <col min="4" max="4" width="8.7109375" style="11" customWidth="1"/>
    <col min="5" max="5" width="6.42578125" style="11" customWidth="1"/>
    <col min="6" max="6" width="7.140625" style="11" customWidth="1"/>
    <col min="7" max="7" width="7.42578125" style="11" customWidth="1"/>
    <col min="8" max="9" width="7.140625" style="11" customWidth="1"/>
    <col min="10" max="10" width="8.140625" style="11" customWidth="1"/>
    <col min="11" max="11" width="7" style="11" customWidth="1"/>
    <col min="12" max="12" width="7.28515625" style="11" customWidth="1"/>
    <col min="13" max="13" width="6.5703125" style="11" customWidth="1"/>
    <col min="14" max="14" width="7.140625" style="11" customWidth="1"/>
    <col min="15" max="15" width="8.7109375" style="11" customWidth="1"/>
    <col min="16" max="16" width="6.85546875" style="11" customWidth="1"/>
    <col min="17" max="17" width="7" style="11" customWidth="1"/>
    <col min="18" max="18" width="6" style="11" customWidth="1"/>
    <col min="19" max="19" width="7.85546875" style="11" customWidth="1"/>
    <col min="20" max="23" width="6" style="11" customWidth="1"/>
    <col min="24" max="24" width="8" style="11" customWidth="1"/>
    <col min="25" max="25" width="9.85546875" style="11" customWidth="1"/>
    <col min="26" max="46" width="6" style="11" customWidth="1"/>
    <col min="47" max="47" width="8.5703125" style="11" customWidth="1"/>
    <col min="48" max="48" width="5.7109375" style="11" customWidth="1"/>
    <col min="49" max="52" width="6" style="11" customWidth="1"/>
    <col min="53" max="53" width="8.42578125" style="11" customWidth="1"/>
    <col min="54" max="55" width="6.7109375" style="11" customWidth="1"/>
    <col min="56" max="56" width="7.85546875" style="11" customWidth="1"/>
    <col min="57" max="57" width="8.7109375" style="11" customWidth="1"/>
    <col min="58" max="58" width="6.7109375" style="11" customWidth="1"/>
    <col min="59" max="59" width="8.28515625" style="11" customWidth="1"/>
    <col min="60" max="60" width="7.7109375" style="11" customWidth="1"/>
    <col min="61" max="61" width="7.5703125" style="11" customWidth="1"/>
    <col min="62" max="62" width="8.140625" style="11" customWidth="1"/>
    <col min="63" max="63" width="8.7109375" style="11" customWidth="1"/>
    <col min="64" max="64" width="6.7109375" style="11" customWidth="1"/>
    <col min="65" max="65" width="7.5703125" style="11" customWidth="1"/>
    <col min="66" max="66" width="8.28515625" style="11" customWidth="1"/>
    <col min="67" max="67" width="9.7109375" style="11" customWidth="1"/>
    <col min="68" max="68" width="6.7109375" style="11" customWidth="1"/>
    <col min="69" max="69" width="8.28515625" style="11" customWidth="1"/>
    <col min="70" max="70" width="8" style="11" customWidth="1"/>
    <col min="71" max="71" width="6.7109375" style="11" customWidth="1"/>
    <col min="72" max="72" width="8.140625" style="11" customWidth="1"/>
    <col min="73" max="88" width="8.7109375" style="11" customWidth="1"/>
    <col min="89" max="89" width="22.85546875" style="11" customWidth="1"/>
    <col min="90" max="90" width="18.42578125" style="29" customWidth="1"/>
    <col min="91" max="91" width="18.42578125" style="12" customWidth="1"/>
    <col min="92" max="92" width="22.85546875" style="12" customWidth="1"/>
    <col min="93" max="93" width="21.7109375" style="12" customWidth="1"/>
    <col min="94" max="94" width="23.42578125" style="12" customWidth="1"/>
    <col min="95" max="95" width="43.5703125" style="12" customWidth="1"/>
    <col min="96" max="96" width="18.42578125" style="12" customWidth="1"/>
    <col min="97" max="97" width="29.42578125" style="1" customWidth="1"/>
    <col min="98" max="16384" width="9.140625" style="4"/>
  </cols>
  <sheetData>
    <row r="1" spans="1:97" ht="28.5" customHeight="1" x14ac:dyDescent="0.25">
      <c r="A1" s="183" t="s">
        <v>278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3"/>
      <c r="AT1" s="183"/>
      <c r="AU1" s="183"/>
      <c r="AV1" s="183"/>
      <c r="AW1" s="183"/>
      <c r="AX1" s="183"/>
      <c r="AY1" s="183"/>
      <c r="AZ1" s="183"/>
      <c r="BA1" s="183"/>
      <c r="BB1" s="183"/>
      <c r="BC1" s="183"/>
      <c r="BD1" s="183"/>
      <c r="BE1" s="183"/>
      <c r="BF1" s="183"/>
      <c r="BG1" s="183"/>
      <c r="BH1" s="183"/>
      <c r="BI1" s="183"/>
      <c r="BJ1" s="183"/>
      <c r="BK1" s="183"/>
      <c r="BL1" s="183"/>
      <c r="BM1" s="183"/>
      <c r="BN1" s="183"/>
      <c r="BO1" s="183"/>
      <c r="BP1" s="183"/>
      <c r="BQ1" s="183"/>
      <c r="BR1" s="183"/>
      <c r="BS1" s="183"/>
      <c r="BT1" s="183"/>
      <c r="BU1" s="183"/>
      <c r="BV1" s="183"/>
      <c r="BW1" s="183"/>
      <c r="BX1" s="183"/>
      <c r="BY1" s="183"/>
      <c r="BZ1" s="183"/>
      <c r="CA1" s="183"/>
      <c r="CB1" s="183"/>
      <c r="CC1" s="183"/>
      <c r="CD1" s="183"/>
      <c r="CE1" s="183"/>
      <c r="CF1" s="183"/>
      <c r="CG1" s="183"/>
      <c r="CH1" s="183"/>
      <c r="CI1" s="183"/>
      <c r="CJ1" s="183"/>
      <c r="CK1" s="183"/>
      <c r="CL1" s="183"/>
      <c r="CM1" s="183"/>
      <c r="CN1" s="183"/>
      <c r="CO1" s="183"/>
      <c r="CP1" s="183"/>
      <c r="CQ1" s="183"/>
      <c r="CR1" s="143"/>
      <c r="CS1" s="143"/>
    </row>
    <row r="2" spans="1:97" ht="28.5" customHeight="1" x14ac:dyDescent="0.25">
      <c r="A2" s="183" t="s">
        <v>140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  <c r="BG2" s="183"/>
      <c r="BH2" s="183"/>
      <c r="BI2" s="183"/>
      <c r="BJ2" s="183"/>
      <c r="BK2" s="183"/>
      <c r="BL2" s="183"/>
      <c r="BM2" s="183"/>
      <c r="BN2" s="183"/>
      <c r="BO2" s="183"/>
      <c r="BP2" s="183"/>
      <c r="BQ2" s="183"/>
      <c r="BR2" s="183"/>
      <c r="BS2" s="183"/>
      <c r="BT2" s="183"/>
      <c r="BU2" s="183"/>
      <c r="BV2" s="183"/>
      <c r="BW2" s="183"/>
      <c r="BX2" s="183"/>
      <c r="BY2" s="183"/>
      <c r="BZ2" s="183"/>
      <c r="CA2" s="183"/>
      <c r="CB2" s="183"/>
      <c r="CC2" s="183"/>
      <c r="CD2" s="183"/>
      <c r="CE2" s="183"/>
      <c r="CF2" s="183"/>
      <c r="CG2" s="183"/>
      <c r="CH2" s="183"/>
      <c r="CI2" s="183"/>
      <c r="CJ2" s="183"/>
      <c r="CK2" s="183"/>
      <c r="CL2" s="183"/>
      <c r="CM2" s="183"/>
      <c r="CN2" s="183"/>
      <c r="CO2" s="183"/>
      <c r="CP2" s="183"/>
      <c r="CQ2" s="183"/>
      <c r="CR2" s="143"/>
      <c r="CS2" s="143"/>
    </row>
    <row r="3" spans="1:97" ht="29.25" customHeight="1" x14ac:dyDescent="0.25">
      <c r="A3" s="183" t="s">
        <v>286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  <c r="AZ3" s="183"/>
      <c r="BA3" s="183"/>
      <c r="BB3" s="183"/>
      <c r="BC3" s="183"/>
      <c r="BD3" s="183"/>
      <c r="BE3" s="183"/>
      <c r="BF3" s="183"/>
      <c r="BG3" s="183"/>
      <c r="BH3" s="183"/>
      <c r="BI3" s="183"/>
      <c r="BJ3" s="183"/>
      <c r="BK3" s="183"/>
      <c r="BL3" s="183"/>
      <c r="BM3" s="183"/>
      <c r="BN3" s="183"/>
      <c r="BO3" s="183"/>
      <c r="BP3" s="183"/>
      <c r="BQ3" s="183"/>
      <c r="BR3" s="183"/>
      <c r="BS3" s="183"/>
      <c r="BT3" s="183"/>
      <c r="BU3" s="183"/>
      <c r="BV3" s="183"/>
      <c r="BW3" s="183"/>
      <c r="BX3" s="183"/>
      <c r="BY3" s="183"/>
      <c r="BZ3" s="183"/>
      <c r="CA3" s="183"/>
      <c r="CB3" s="183"/>
      <c r="CC3" s="183"/>
      <c r="CD3" s="183"/>
      <c r="CE3" s="183"/>
      <c r="CF3" s="183"/>
      <c r="CG3" s="183"/>
      <c r="CH3" s="183"/>
      <c r="CI3" s="183"/>
      <c r="CJ3" s="183"/>
      <c r="CK3" s="183"/>
      <c r="CL3" s="183"/>
      <c r="CM3" s="183"/>
      <c r="CN3" s="183"/>
      <c r="CO3" s="183"/>
      <c r="CP3" s="183"/>
      <c r="CQ3" s="183"/>
      <c r="CR3" s="144"/>
      <c r="CS3" s="144"/>
    </row>
    <row r="4" spans="1:97" ht="18.75" customHeight="1" x14ac:dyDescent="0.25">
      <c r="A4" s="32"/>
      <c r="B4" s="32"/>
      <c r="C4" s="27"/>
      <c r="I4" s="28"/>
      <c r="J4" s="28"/>
      <c r="K4" s="28"/>
      <c r="L4" s="28"/>
      <c r="M4" s="28"/>
      <c r="N4" s="28"/>
      <c r="O4" s="28"/>
      <c r="CL4" s="162" t="s">
        <v>43</v>
      </c>
      <c r="CM4" s="162"/>
      <c r="CN4" s="24">
        <f>CK12+CK20+CK28+CK37+CK44+CK52+CK60+CK69+CK77+CK84+CK88+CK92</f>
        <v>1662.3700000000001</v>
      </c>
      <c r="CO4" s="21" t="s">
        <v>11</v>
      </c>
      <c r="CP4" s="21"/>
      <c r="CQ4" s="21"/>
      <c r="CR4" s="144"/>
      <c r="CS4" s="144"/>
    </row>
    <row r="5" spans="1:97" ht="18.75" x14ac:dyDescent="0.25">
      <c r="A5" s="32"/>
      <c r="B5" s="32"/>
      <c r="C5" s="27"/>
      <c r="I5" s="28"/>
      <c r="J5" s="28"/>
      <c r="K5" s="28"/>
      <c r="L5" s="28"/>
      <c r="M5" s="28"/>
      <c r="N5" s="28"/>
      <c r="O5" s="28"/>
      <c r="CL5" s="163" t="s">
        <v>41</v>
      </c>
      <c r="CM5" s="163"/>
      <c r="CN5" s="30"/>
      <c r="CO5" s="22" t="s">
        <v>44</v>
      </c>
      <c r="CP5" s="22"/>
      <c r="CQ5" s="22"/>
      <c r="CR5" s="144"/>
      <c r="CS5" s="144"/>
    </row>
    <row r="6" spans="1:97" ht="18.75" hidden="1" x14ac:dyDescent="0.25">
      <c r="A6" s="32"/>
      <c r="B6" s="32"/>
      <c r="C6" s="27"/>
      <c r="D6" s="111">
        <v>7</v>
      </c>
      <c r="E6" s="111">
        <v>6</v>
      </c>
      <c r="F6" s="112">
        <v>12</v>
      </c>
      <c r="G6" s="112">
        <v>11</v>
      </c>
      <c r="H6" s="111">
        <v>7</v>
      </c>
      <c r="I6" s="111">
        <v>7</v>
      </c>
      <c r="J6" s="111">
        <v>6</v>
      </c>
      <c r="K6" s="112">
        <v>12</v>
      </c>
      <c r="L6" s="112">
        <v>11</v>
      </c>
      <c r="M6" s="111">
        <v>7</v>
      </c>
      <c r="N6" s="111">
        <v>7</v>
      </c>
      <c r="O6" s="111">
        <v>6</v>
      </c>
      <c r="P6" s="112">
        <v>12</v>
      </c>
      <c r="Q6" s="112">
        <v>11</v>
      </c>
      <c r="R6" s="111">
        <v>7</v>
      </c>
      <c r="S6" s="111">
        <v>7</v>
      </c>
      <c r="T6" s="111">
        <v>6</v>
      </c>
      <c r="U6" s="112">
        <v>12</v>
      </c>
      <c r="V6" s="112">
        <v>11</v>
      </c>
      <c r="W6" s="111">
        <v>7</v>
      </c>
      <c r="X6" s="113">
        <v>9</v>
      </c>
      <c r="Y6" s="113">
        <v>8</v>
      </c>
      <c r="Z6" s="113">
        <v>8</v>
      </c>
      <c r="AA6" s="113">
        <v>10</v>
      </c>
      <c r="AB6" s="113">
        <v>8</v>
      </c>
      <c r="AC6" s="113">
        <v>8</v>
      </c>
      <c r="AD6" s="113">
        <v>10</v>
      </c>
      <c r="AE6" s="113">
        <v>14</v>
      </c>
      <c r="AF6" s="113">
        <v>14</v>
      </c>
      <c r="AG6" s="113">
        <v>14</v>
      </c>
      <c r="AH6" s="113">
        <v>14</v>
      </c>
      <c r="AI6" s="113">
        <v>14</v>
      </c>
      <c r="AJ6" s="114">
        <v>15</v>
      </c>
      <c r="AK6" s="114">
        <v>15</v>
      </c>
      <c r="AL6" s="115">
        <v>12</v>
      </c>
      <c r="AM6" s="115">
        <v>13</v>
      </c>
      <c r="AN6" s="114">
        <v>15</v>
      </c>
      <c r="AO6" s="115">
        <v>15</v>
      </c>
      <c r="AP6" s="115">
        <v>14</v>
      </c>
      <c r="AQ6" s="116">
        <v>12</v>
      </c>
      <c r="AR6" s="116">
        <v>7</v>
      </c>
      <c r="AS6" s="117">
        <v>13</v>
      </c>
      <c r="AT6" s="116">
        <v>13</v>
      </c>
      <c r="AU6" s="116">
        <v>12</v>
      </c>
      <c r="AV6" s="116">
        <v>13</v>
      </c>
      <c r="AW6" s="116">
        <v>13</v>
      </c>
      <c r="AX6" s="116">
        <v>13</v>
      </c>
      <c r="AY6" s="116">
        <v>13</v>
      </c>
      <c r="AZ6" s="116">
        <v>13</v>
      </c>
      <c r="BA6" s="117">
        <v>15</v>
      </c>
      <c r="BB6" s="116">
        <v>15</v>
      </c>
      <c r="BC6" s="117">
        <v>14</v>
      </c>
      <c r="BD6" s="116">
        <v>14</v>
      </c>
      <c r="BE6" s="116">
        <v>13</v>
      </c>
      <c r="BF6" s="116">
        <v>15</v>
      </c>
      <c r="BG6" s="114">
        <v>15</v>
      </c>
      <c r="BH6" s="116">
        <v>12</v>
      </c>
      <c r="BI6" s="116">
        <v>15</v>
      </c>
      <c r="BJ6" s="114">
        <v>14</v>
      </c>
      <c r="BK6" s="115">
        <v>14</v>
      </c>
      <c r="BL6" s="116">
        <v>15</v>
      </c>
      <c r="BM6" s="11">
        <v>14</v>
      </c>
      <c r="BN6" s="109">
        <v>16</v>
      </c>
      <c r="BO6" s="109">
        <v>7</v>
      </c>
      <c r="BP6" s="109">
        <v>14</v>
      </c>
      <c r="BQ6" s="109">
        <v>16</v>
      </c>
      <c r="BR6" s="109">
        <v>16</v>
      </c>
      <c r="BS6" s="109">
        <v>14</v>
      </c>
      <c r="BT6" s="109">
        <v>15</v>
      </c>
      <c r="BU6" s="109">
        <v>15</v>
      </c>
      <c r="BV6" s="109">
        <v>14</v>
      </c>
      <c r="BW6" s="109">
        <v>15</v>
      </c>
      <c r="BX6" s="109">
        <v>14</v>
      </c>
      <c r="BY6" s="109">
        <v>14</v>
      </c>
      <c r="BZ6" s="109">
        <v>14</v>
      </c>
      <c r="CA6" s="109">
        <v>14</v>
      </c>
      <c r="CB6" s="109">
        <v>14</v>
      </c>
      <c r="CC6" s="111">
        <v>16</v>
      </c>
      <c r="CD6" s="109">
        <v>16</v>
      </c>
      <c r="CE6" s="111">
        <v>16</v>
      </c>
      <c r="CF6" s="109">
        <v>16</v>
      </c>
      <c r="CG6" s="111">
        <v>16</v>
      </c>
      <c r="CH6" s="109">
        <v>16</v>
      </c>
      <c r="CI6" s="109">
        <v>16</v>
      </c>
      <c r="CJ6" s="109">
        <v>16</v>
      </c>
      <c r="CL6" s="164" t="s">
        <v>42</v>
      </c>
      <c r="CM6" s="164"/>
      <c r="CN6" s="31"/>
      <c r="CO6" s="23" t="s">
        <v>44</v>
      </c>
      <c r="CP6" s="23"/>
      <c r="CQ6" s="23"/>
      <c r="CR6" s="144"/>
      <c r="CS6" s="144"/>
    </row>
    <row r="7" spans="1:97" s="19" customFormat="1" ht="15" customHeight="1" x14ac:dyDescent="0.25">
      <c r="A7" s="165"/>
      <c r="B7" s="166" t="s">
        <v>268</v>
      </c>
      <c r="C7" s="184" t="s">
        <v>269</v>
      </c>
      <c r="D7" s="96" t="s">
        <v>19</v>
      </c>
      <c r="E7" s="96" t="s">
        <v>20</v>
      </c>
      <c r="F7" s="96" t="s">
        <v>21</v>
      </c>
      <c r="G7" s="96" t="s">
        <v>22</v>
      </c>
      <c r="H7" s="96" t="s">
        <v>23</v>
      </c>
      <c r="I7" s="34" t="s">
        <v>24</v>
      </c>
      <c r="J7" s="34" t="s">
        <v>25</v>
      </c>
      <c r="K7" s="34" t="s">
        <v>26</v>
      </c>
      <c r="L7" s="34" t="s">
        <v>27</v>
      </c>
      <c r="M7" s="34" t="s">
        <v>28</v>
      </c>
      <c r="N7" s="36" t="s">
        <v>29</v>
      </c>
      <c r="O7" s="36" t="s">
        <v>30</v>
      </c>
      <c r="P7" s="36" t="s">
        <v>31</v>
      </c>
      <c r="Q7" s="36" t="s">
        <v>32</v>
      </c>
      <c r="R7" s="36" t="s">
        <v>52</v>
      </c>
      <c r="S7" s="38" t="s">
        <v>33</v>
      </c>
      <c r="T7" s="38" t="s">
        <v>53</v>
      </c>
      <c r="U7" s="38" t="s">
        <v>54</v>
      </c>
      <c r="V7" s="38" t="s">
        <v>55</v>
      </c>
      <c r="W7" s="38" t="s">
        <v>56</v>
      </c>
      <c r="X7" s="41" t="s">
        <v>59</v>
      </c>
      <c r="Y7" s="41" t="s">
        <v>60</v>
      </c>
      <c r="Z7" s="41" t="s">
        <v>61</v>
      </c>
      <c r="AA7" s="41" t="s">
        <v>62</v>
      </c>
      <c r="AB7" s="41" t="s">
        <v>63</v>
      </c>
      <c r="AC7" s="41" t="s">
        <v>64</v>
      </c>
      <c r="AD7" s="41" t="s">
        <v>65</v>
      </c>
      <c r="AE7" s="52" t="s">
        <v>66</v>
      </c>
      <c r="AF7" s="52" t="s">
        <v>67</v>
      </c>
      <c r="AG7" s="52" t="s">
        <v>68</v>
      </c>
      <c r="AH7" s="52" t="s">
        <v>69</v>
      </c>
      <c r="AI7" s="52" t="s">
        <v>70</v>
      </c>
      <c r="AJ7" s="98" t="s">
        <v>71</v>
      </c>
      <c r="AK7" s="98" t="s">
        <v>78</v>
      </c>
      <c r="AL7" s="98" t="s">
        <v>79</v>
      </c>
      <c r="AM7" s="98" t="s">
        <v>80</v>
      </c>
      <c r="AN7" s="98" t="s">
        <v>81</v>
      </c>
      <c r="AO7" s="95" t="s">
        <v>87</v>
      </c>
      <c r="AP7" s="95" t="s">
        <v>88</v>
      </c>
      <c r="AQ7" s="95" t="s">
        <v>89</v>
      </c>
      <c r="AR7" s="95" t="s">
        <v>90</v>
      </c>
      <c r="AS7" s="96" t="s">
        <v>94</v>
      </c>
      <c r="AT7" s="96" t="s">
        <v>95</v>
      </c>
      <c r="AU7" s="76" t="s">
        <v>96</v>
      </c>
      <c r="AV7" s="96" t="s">
        <v>97</v>
      </c>
      <c r="AW7" s="96" t="s">
        <v>98</v>
      </c>
      <c r="AX7" s="96" t="s">
        <v>99</v>
      </c>
      <c r="AY7" s="96" t="s">
        <v>100</v>
      </c>
      <c r="AZ7" s="96" t="s">
        <v>101</v>
      </c>
      <c r="BA7" s="96" t="s">
        <v>102</v>
      </c>
      <c r="BB7" s="96" t="s">
        <v>103</v>
      </c>
      <c r="BC7" s="96" t="s">
        <v>104</v>
      </c>
      <c r="BD7" s="96" t="s">
        <v>105</v>
      </c>
      <c r="BE7" s="96" t="s">
        <v>106</v>
      </c>
      <c r="BF7" s="96" t="s">
        <v>107</v>
      </c>
      <c r="BG7" s="96" t="s">
        <v>108</v>
      </c>
      <c r="BH7" s="76" t="s">
        <v>109</v>
      </c>
      <c r="BI7" s="96" t="s">
        <v>110</v>
      </c>
      <c r="BJ7" s="76" t="s">
        <v>111</v>
      </c>
      <c r="BK7" s="96" t="s">
        <v>112</v>
      </c>
      <c r="BL7" s="96" t="s">
        <v>114</v>
      </c>
      <c r="BM7" s="97" t="s">
        <v>113</v>
      </c>
      <c r="BN7" s="97" t="s">
        <v>129</v>
      </c>
      <c r="BO7" s="97" t="s">
        <v>130</v>
      </c>
      <c r="BP7" s="97" t="s">
        <v>131</v>
      </c>
      <c r="BQ7" s="97" t="s">
        <v>132</v>
      </c>
      <c r="BR7" s="97" t="s">
        <v>133</v>
      </c>
      <c r="BS7" s="97" t="s">
        <v>134</v>
      </c>
      <c r="BT7" s="97" t="s">
        <v>135</v>
      </c>
      <c r="BU7" s="97" t="s">
        <v>136</v>
      </c>
      <c r="BV7" s="97" t="s">
        <v>137</v>
      </c>
      <c r="BW7" s="97" t="s">
        <v>146</v>
      </c>
      <c r="BX7" s="97" t="s">
        <v>147</v>
      </c>
      <c r="BY7" s="97" t="s">
        <v>148</v>
      </c>
      <c r="BZ7" s="97" t="s">
        <v>149</v>
      </c>
      <c r="CA7" s="97" t="s">
        <v>150</v>
      </c>
      <c r="CB7" s="97" t="s">
        <v>151</v>
      </c>
      <c r="CC7" s="97" t="s">
        <v>152</v>
      </c>
      <c r="CD7" s="97" t="s">
        <v>153</v>
      </c>
      <c r="CE7" s="97" t="s">
        <v>154</v>
      </c>
      <c r="CF7" s="97" t="s">
        <v>155</v>
      </c>
      <c r="CG7" s="97" t="s">
        <v>156</v>
      </c>
      <c r="CH7" s="97" t="s">
        <v>157</v>
      </c>
      <c r="CI7" s="97" t="s">
        <v>158</v>
      </c>
      <c r="CJ7" s="97" t="s">
        <v>159</v>
      </c>
      <c r="CK7" s="179" t="s">
        <v>279</v>
      </c>
      <c r="CL7" s="179" t="s">
        <v>280</v>
      </c>
      <c r="CM7" s="179" t="s">
        <v>281</v>
      </c>
      <c r="CN7" s="180" t="s">
        <v>282</v>
      </c>
      <c r="CO7" s="180" t="s">
        <v>283</v>
      </c>
      <c r="CP7" s="180" t="s">
        <v>284</v>
      </c>
      <c r="CQ7" s="180" t="s">
        <v>285</v>
      </c>
      <c r="CR7" s="145"/>
      <c r="CS7" s="168"/>
    </row>
    <row r="8" spans="1:97" s="19" customFormat="1" ht="15" customHeight="1" x14ac:dyDescent="0.25">
      <c r="A8" s="165"/>
      <c r="B8" s="166"/>
      <c r="C8" s="185"/>
      <c r="D8" s="169" t="s">
        <v>45</v>
      </c>
      <c r="E8" s="169"/>
      <c r="F8" s="169"/>
      <c r="G8" s="169"/>
      <c r="H8" s="169"/>
      <c r="I8" s="170" t="s">
        <v>51</v>
      </c>
      <c r="J8" s="170"/>
      <c r="K8" s="170"/>
      <c r="L8" s="170"/>
      <c r="M8" s="170"/>
      <c r="N8" s="171" t="s">
        <v>57</v>
      </c>
      <c r="O8" s="171"/>
      <c r="P8" s="171"/>
      <c r="Q8" s="171"/>
      <c r="R8" s="171"/>
      <c r="S8" s="174" t="s">
        <v>58</v>
      </c>
      <c r="T8" s="174"/>
      <c r="U8" s="174"/>
      <c r="V8" s="174"/>
      <c r="W8" s="174"/>
      <c r="X8" s="175" t="s">
        <v>77</v>
      </c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6" t="s">
        <v>82</v>
      </c>
      <c r="AK8" s="176"/>
      <c r="AL8" s="176"/>
      <c r="AM8" s="176"/>
      <c r="AN8" s="176"/>
      <c r="AO8" s="172" t="s">
        <v>91</v>
      </c>
      <c r="AP8" s="172"/>
      <c r="AQ8" s="172"/>
      <c r="AR8" s="172"/>
      <c r="AS8" s="173" t="s">
        <v>1</v>
      </c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167" t="s">
        <v>128</v>
      </c>
      <c r="BN8" s="167"/>
      <c r="BO8" s="167"/>
      <c r="BP8" s="167"/>
      <c r="BQ8" s="167"/>
      <c r="BR8" s="167"/>
      <c r="BS8" s="167"/>
      <c r="BT8" s="167"/>
      <c r="BU8" s="167"/>
      <c r="BV8" s="167"/>
      <c r="BW8" s="167"/>
      <c r="BX8" s="167"/>
      <c r="BY8" s="167"/>
      <c r="BZ8" s="167"/>
      <c r="CA8" s="167"/>
      <c r="CB8" s="167"/>
      <c r="CC8" s="167"/>
      <c r="CD8" s="167"/>
      <c r="CE8" s="167"/>
      <c r="CF8" s="167"/>
      <c r="CG8" s="167"/>
      <c r="CH8" s="167"/>
      <c r="CI8" s="167"/>
      <c r="CJ8" s="167"/>
      <c r="CK8" s="179"/>
      <c r="CL8" s="179"/>
      <c r="CM8" s="179"/>
      <c r="CN8" s="181"/>
      <c r="CO8" s="181"/>
      <c r="CP8" s="181"/>
      <c r="CQ8" s="181"/>
      <c r="CR8" s="145"/>
      <c r="CS8" s="168"/>
    </row>
    <row r="9" spans="1:97" s="19" customFormat="1" ht="79.5" customHeight="1" x14ac:dyDescent="0.25">
      <c r="A9" s="165"/>
      <c r="B9" s="166"/>
      <c r="C9" s="186"/>
      <c r="D9" s="20" t="s">
        <v>46</v>
      </c>
      <c r="E9" s="20" t="s">
        <v>47</v>
      </c>
      <c r="F9" s="20" t="s">
        <v>48</v>
      </c>
      <c r="G9" s="20" t="s">
        <v>49</v>
      </c>
      <c r="H9" s="20" t="s">
        <v>50</v>
      </c>
      <c r="I9" s="35" t="s">
        <v>46</v>
      </c>
      <c r="J9" s="35" t="s">
        <v>47</v>
      </c>
      <c r="K9" s="35" t="s">
        <v>48</v>
      </c>
      <c r="L9" s="35" t="s">
        <v>49</v>
      </c>
      <c r="M9" s="35" t="s">
        <v>50</v>
      </c>
      <c r="N9" s="37" t="s">
        <v>46</v>
      </c>
      <c r="O9" s="37" t="s">
        <v>47</v>
      </c>
      <c r="P9" s="37" t="s">
        <v>48</v>
      </c>
      <c r="Q9" s="37" t="s">
        <v>49</v>
      </c>
      <c r="R9" s="37" t="s">
        <v>50</v>
      </c>
      <c r="S9" s="39" t="s">
        <v>46</v>
      </c>
      <c r="T9" s="39" t="s">
        <v>47</v>
      </c>
      <c r="U9" s="39" t="s">
        <v>48</v>
      </c>
      <c r="V9" s="39" t="s">
        <v>49</v>
      </c>
      <c r="W9" s="39" t="s">
        <v>50</v>
      </c>
      <c r="X9" s="40" t="s">
        <v>72</v>
      </c>
      <c r="Y9" s="40" t="s">
        <v>50</v>
      </c>
      <c r="Z9" s="40" t="s">
        <v>9</v>
      </c>
      <c r="AA9" s="40" t="s">
        <v>49</v>
      </c>
      <c r="AB9" s="40" t="s">
        <v>50</v>
      </c>
      <c r="AC9" s="40" t="s">
        <v>9</v>
      </c>
      <c r="AD9" s="40" t="s">
        <v>49</v>
      </c>
      <c r="AE9" s="53" t="s">
        <v>16</v>
      </c>
      <c r="AF9" s="53" t="s">
        <v>73</v>
      </c>
      <c r="AG9" s="53" t="s">
        <v>74</v>
      </c>
      <c r="AH9" s="53" t="s">
        <v>75</v>
      </c>
      <c r="AI9" s="53" t="s">
        <v>76</v>
      </c>
      <c r="AJ9" s="42" t="s">
        <v>83</v>
      </c>
      <c r="AK9" s="42" t="s">
        <v>84</v>
      </c>
      <c r="AL9" s="42" t="s">
        <v>85</v>
      </c>
      <c r="AM9" s="42" t="s">
        <v>86</v>
      </c>
      <c r="AN9" s="42" t="s">
        <v>8</v>
      </c>
      <c r="AO9" s="43" t="s">
        <v>8</v>
      </c>
      <c r="AP9" s="43" t="s">
        <v>92</v>
      </c>
      <c r="AQ9" s="43" t="s">
        <v>93</v>
      </c>
      <c r="AR9" s="43" t="s">
        <v>0</v>
      </c>
      <c r="AS9" s="44" t="s">
        <v>2</v>
      </c>
      <c r="AT9" s="44" t="s">
        <v>115</v>
      </c>
      <c r="AU9" s="44" t="s">
        <v>116</v>
      </c>
      <c r="AV9" s="44" t="s">
        <v>117</v>
      </c>
      <c r="AW9" s="44" t="s">
        <v>118</v>
      </c>
      <c r="AX9" s="44" t="s">
        <v>4</v>
      </c>
      <c r="AY9" s="44" t="s">
        <v>119</v>
      </c>
      <c r="AZ9" s="44" t="s">
        <v>120</v>
      </c>
      <c r="BA9" s="44" t="s">
        <v>121</v>
      </c>
      <c r="BB9" s="44" t="s">
        <v>122</v>
      </c>
      <c r="BC9" s="44" t="s">
        <v>123</v>
      </c>
      <c r="BD9" s="44" t="s">
        <v>6</v>
      </c>
      <c r="BE9" s="44" t="s">
        <v>124</v>
      </c>
      <c r="BF9" s="44" t="s">
        <v>7</v>
      </c>
      <c r="BG9" s="44" t="s">
        <v>8</v>
      </c>
      <c r="BH9" s="44" t="s">
        <v>125</v>
      </c>
      <c r="BI9" s="44" t="s">
        <v>3</v>
      </c>
      <c r="BJ9" s="44" t="s">
        <v>126</v>
      </c>
      <c r="BK9" s="44" t="s">
        <v>127</v>
      </c>
      <c r="BL9" s="44" t="s">
        <v>8</v>
      </c>
      <c r="BM9" s="45" t="s">
        <v>138</v>
      </c>
      <c r="BN9" s="45" t="s">
        <v>139</v>
      </c>
      <c r="BO9" s="45" t="s">
        <v>141</v>
      </c>
      <c r="BP9" s="45" t="s">
        <v>142</v>
      </c>
      <c r="BQ9" s="45" t="s">
        <v>143</v>
      </c>
      <c r="BR9" s="45" t="s">
        <v>17</v>
      </c>
      <c r="BS9" s="45" t="s">
        <v>144</v>
      </c>
      <c r="BT9" s="45" t="s">
        <v>8</v>
      </c>
      <c r="BU9" s="45" t="s">
        <v>8</v>
      </c>
      <c r="BV9" s="45" t="s">
        <v>145</v>
      </c>
      <c r="BW9" s="45" t="s">
        <v>10</v>
      </c>
      <c r="BX9" s="45" t="s">
        <v>160</v>
      </c>
      <c r="BY9" s="45" t="s">
        <v>161</v>
      </c>
      <c r="BZ9" s="45" t="s">
        <v>162</v>
      </c>
      <c r="CA9" s="45" t="s">
        <v>160</v>
      </c>
      <c r="CB9" s="45" t="s">
        <v>6</v>
      </c>
      <c r="CC9" s="45" t="s">
        <v>163</v>
      </c>
      <c r="CD9" s="45" t="s">
        <v>139</v>
      </c>
      <c r="CE9" s="45" t="s">
        <v>188</v>
      </c>
      <c r="CF9" s="45" t="s">
        <v>139</v>
      </c>
      <c r="CG9" s="45" t="s">
        <v>189</v>
      </c>
      <c r="CH9" s="45" t="s">
        <v>139</v>
      </c>
      <c r="CI9" s="45" t="s">
        <v>139</v>
      </c>
      <c r="CJ9" s="45" t="s">
        <v>139</v>
      </c>
      <c r="CK9" s="179"/>
      <c r="CL9" s="179"/>
      <c r="CM9" s="179"/>
      <c r="CN9" s="182"/>
      <c r="CO9" s="182"/>
      <c r="CP9" s="182"/>
      <c r="CQ9" s="182"/>
      <c r="CR9" s="145"/>
      <c r="CS9" s="168"/>
    </row>
    <row r="10" spans="1:97" s="2" customFormat="1" ht="18.75" customHeight="1" x14ac:dyDescent="0.25">
      <c r="A10" s="104"/>
      <c r="B10" s="17" t="s">
        <v>5</v>
      </c>
      <c r="C10" s="105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94"/>
      <c r="CM10" s="13"/>
      <c r="CN10" s="13"/>
      <c r="CO10" s="13"/>
      <c r="CP10" s="13"/>
      <c r="CQ10" s="13"/>
      <c r="CR10" s="146"/>
      <c r="CS10" s="147"/>
    </row>
    <row r="11" spans="1:97" s="2" customFormat="1" ht="32.25" customHeight="1" x14ac:dyDescent="0.25">
      <c r="A11" s="99" t="s">
        <v>18</v>
      </c>
      <c r="B11" s="100" t="s">
        <v>176</v>
      </c>
      <c r="C11" s="101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103"/>
      <c r="BS11" s="103"/>
      <c r="BT11" s="103"/>
      <c r="BU11" s="103"/>
      <c r="BV11" s="103"/>
      <c r="BW11" s="103"/>
      <c r="BX11" s="103"/>
      <c r="BY11" s="103"/>
      <c r="BZ11" s="103"/>
      <c r="CA11" s="103"/>
      <c r="CB11" s="103"/>
      <c r="CC11" s="103"/>
      <c r="CD11" s="103"/>
      <c r="CE11" s="103"/>
      <c r="CF11" s="103"/>
      <c r="CG11" s="103"/>
      <c r="CH11" s="103"/>
      <c r="CI11" s="103"/>
      <c r="CJ11" s="103"/>
      <c r="CK11" s="103"/>
      <c r="CL11" s="94"/>
      <c r="CM11" s="8"/>
      <c r="CN11" s="8"/>
      <c r="CO11" s="8"/>
      <c r="CP11" s="8"/>
      <c r="CQ11" s="8"/>
      <c r="CR11" s="148"/>
      <c r="CS11" s="147"/>
    </row>
    <row r="12" spans="1:97" s="2" customFormat="1" x14ac:dyDescent="0.25">
      <c r="A12" s="160" t="s">
        <v>207</v>
      </c>
      <c r="B12" s="50" t="s">
        <v>168</v>
      </c>
      <c r="C12" s="49" t="s">
        <v>11</v>
      </c>
      <c r="D12" s="51"/>
      <c r="E12" s="51">
        <f>52.57</f>
        <v>52.57</v>
      </c>
      <c r="F12" s="51"/>
      <c r="G12" s="51"/>
      <c r="H12" s="51"/>
      <c r="I12" s="51"/>
      <c r="J12" s="51">
        <f>53.64</f>
        <v>53.64</v>
      </c>
      <c r="K12" s="51"/>
      <c r="L12" s="51"/>
      <c r="M12" s="51"/>
      <c r="N12" s="51"/>
      <c r="O12" s="51">
        <f>53.64</f>
        <v>53.64</v>
      </c>
      <c r="P12" s="51"/>
      <c r="Q12" s="51"/>
      <c r="R12" s="51"/>
      <c r="S12" s="51"/>
      <c r="T12" s="51">
        <f>52.6</f>
        <v>52.6</v>
      </c>
      <c r="U12" s="51"/>
      <c r="V12" s="51"/>
      <c r="W12" s="51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57">
        <f t="shared" ref="CK12:CK18" si="0">SUM(D12:CJ12)</f>
        <v>212.45000000000002</v>
      </c>
      <c r="CL12" s="94"/>
      <c r="CM12" s="8"/>
      <c r="CN12" s="8"/>
      <c r="CO12" s="8"/>
      <c r="CP12" s="8"/>
      <c r="CQ12" s="8"/>
      <c r="CR12" s="148"/>
      <c r="CS12" s="147"/>
    </row>
    <row r="13" spans="1:97" s="2" customFormat="1" x14ac:dyDescent="0.25">
      <c r="A13" s="160"/>
      <c r="B13" s="50" t="s">
        <v>169</v>
      </c>
      <c r="C13" s="49" t="s">
        <v>11</v>
      </c>
      <c r="D13" s="51"/>
      <c r="E13" s="51">
        <f>52.57</f>
        <v>52.57</v>
      </c>
      <c r="F13" s="51"/>
      <c r="G13" s="51"/>
      <c r="H13" s="51"/>
      <c r="I13" s="51"/>
      <c r="J13" s="51">
        <f>53.64</f>
        <v>53.64</v>
      </c>
      <c r="K13" s="51"/>
      <c r="L13" s="51"/>
      <c r="M13" s="51"/>
      <c r="N13" s="51"/>
      <c r="O13" s="51">
        <f>53.64</f>
        <v>53.64</v>
      </c>
      <c r="P13" s="51"/>
      <c r="Q13" s="51"/>
      <c r="R13" s="51"/>
      <c r="S13" s="51"/>
      <c r="T13" s="51">
        <f>52.6</f>
        <v>52.6</v>
      </c>
      <c r="U13" s="51"/>
      <c r="V13" s="51"/>
      <c r="W13" s="51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57">
        <f t="shared" si="0"/>
        <v>212.45000000000002</v>
      </c>
      <c r="CL13" s="94"/>
      <c r="CM13" s="8"/>
      <c r="CN13" s="8"/>
      <c r="CO13" s="8"/>
      <c r="CP13" s="8"/>
      <c r="CQ13" s="8"/>
      <c r="CR13" s="148"/>
      <c r="CS13" s="147"/>
    </row>
    <row r="14" spans="1:97" s="2" customFormat="1" ht="30" x14ac:dyDescent="0.25">
      <c r="A14" s="160"/>
      <c r="B14" s="107" t="s">
        <v>206</v>
      </c>
      <c r="C14" s="49" t="s">
        <v>11</v>
      </c>
      <c r="D14" s="51"/>
      <c r="E14" s="51">
        <f>52.57</f>
        <v>52.57</v>
      </c>
      <c r="F14" s="51"/>
      <c r="G14" s="51"/>
      <c r="H14" s="51"/>
      <c r="I14" s="51"/>
      <c r="J14" s="51">
        <f>53.64</f>
        <v>53.64</v>
      </c>
      <c r="K14" s="51"/>
      <c r="L14" s="51"/>
      <c r="M14" s="51"/>
      <c r="N14" s="51"/>
      <c r="O14" s="51">
        <f>53.64</f>
        <v>53.64</v>
      </c>
      <c r="P14" s="51"/>
      <c r="Q14" s="51"/>
      <c r="R14" s="51"/>
      <c r="S14" s="51"/>
      <c r="T14" s="51">
        <f>52.6</f>
        <v>52.6</v>
      </c>
      <c r="U14" s="51"/>
      <c r="V14" s="51"/>
      <c r="W14" s="51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57">
        <f t="shared" si="0"/>
        <v>212.45000000000002</v>
      </c>
      <c r="CL14" s="94"/>
      <c r="CM14" s="8"/>
      <c r="CN14" s="8"/>
      <c r="CO14" s="8"/>
      <c r="CP14" s="8"/>
      <c r="CQ14" s="8"/>
      <c r="CR14" s="148"/>
      <c r="CS14" s="147"/>
    </row>
    <row r="15" spans="1:97" s="2" customFormat="1" ht="75" x14ac:dyDescent="0.25">
      <c r="A15" s="160"/>
      <c r="B15" s="187" t="s">
        <v>287</v>
      </c>
      <c r="C15" s="49" t="s">
        <v>11</v>
      </c>
      <c r="D15" s="51"/>
      <c r="E15" s="51">
        <f>52.57</f>
        <v>52.57</v>
      </c>
      <c r="F15" s="51"/>
      <c r="G15" s="51"/>
      <c r="H15" s="51"/>
      <c r="I15" s="51"/>
      <c r="J15" s="51">
        <f>53.64</f>
        <v>53.64</v>
      </c>
      <c r="K15" s="51"/>
      <c r="L15" s="51"/>
      <c r="M15" s="51"/>
      <c r="N15" s="51"/>
      <c r="O15" s="51">
        <f>53.64</f>
        <v>53.64</v>
      </c>
      <c r="P15" s="51"/>
      <c r="Q15" s="51"/>
      <c r="R15" s="51"/>
      <c r="S15" s="51"/>
      <c r="T15" s="51">
        <f>52.6</f>
        <v>52.6</v>
      </c>
      <c r="U15" s="51"/>
      <c r="V15" s="51"/>
      <c r="W15" s="51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57">
        <f t="shared" si="0"/>
        <v>212.45000000000002</v>
      </c>
      <c r="CL15" s="94"/>
      <c r="CM15" s="8"/>
      <c r="CN15" s="8"/>
      <c r="CO15" s="8"/>
      <c r="CP15" s="8"/>
      <c r="CQ15" s="8"/>
      <c r="CR15" s="148"/>
      <c r="CS15" s="147"/>
    </row>
    <row r="16" spans="1:97" s="2" customFormat="1" ht="16.5" customHeight="1" x14ac:dyDescent="0.25">
      <c r="A16" s="160"/>
      <c r="B16" s="48" t="s">
        <v>170</v>
      </c>
      <c r="C16" s="49" t="s">
        <v>11</v>
      </c>
      <c r="D16" s="51"/>
      <c r="E16" s="51">
        <f>52.57</f>
        <v>52.57</v>
      </c>
      <c r="F16" s="51"/>
      <c r="G16" s="51"/>
      <c r="H16" s="51"/>
      <c r="I16" s="51"/>
      <c r="J16" s="51">
        <f>53.64</f>
        <v>53.64</v>
      </c>
      <c r="K16" s="51"/>
      <c r="L16" s="51"/>
      <c r="M16" s="51"/>
      <c r="N16" s="51"/>
      <c r="O16" s="51">
        <f>53.64</f>
        <v>53.64</v>
      </c>
      <c r="P16" s="51"/>
      <c r="Q16" s="51"/>
      <c r="R16" s="51"/>
      <c r="S16" s="51"/>
      <c r="T16" s="51">
        <f>52.57</f>
        <v>52.57</v>
      </c>
      <c r="U16" s="51"/>
      <c r="V16" s="51"/>
      <c r="W16" s="51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57">
        <f t="shared" si="0"/>
        <v>212.42000000000002</v>
      </c>
      <c r="CL16" s="94"/>
      <c r="CM16" s="8"/>
      <c r="CN16" s="8"/>
      <c r="CO16" s="8"/>
      <c r="CP16" s="8"/>
      <c r="CQ16" s="8"/>
      <c r="CR16" s="148"/>
      <c r="CS16" s="147"/>
    </row>
    <row r="17" spans="1:97" ht="32.25" customHeight="1" x14ac:dyDescent="0.25">
      <c r="A17" s="160"/>
      <c r="B17" s="48" t="s">
        <v>295</v>
      </c>
      <c r="C17" s="49" t="s">
        <v>11</v>
      </c>
      <c r="D17" s="51"/>
      <c r="E17" s="51">
        <f>E16</f>
        <v>52.57</v>
      </c>
      <c r="F17" s="51"/>
      <c r="G17" s="51"/>
      <c r="H17" s="51"/>
      <c r="I17" s="51"/>
      <c r="J17" s="51">
        <f>J16</f>
        <v>53.64</v>
      </c>
      <c r="K17" s="51"/>
      <c r="L17" s="51"/>
      <c r="M17" s="51"/>
      <c r="N17" s="51"/>
      <c r="O17" s="51">
        <f>O16</f>
        <v>53.64</v>
      </c>
      <c r="P17" s="51"/>
      <c r="Q17" s="51"/>
      <c r="R17" s="51"/>
      <c r="S17" s="51"/>
      <c r="T17" s="51">
        <f>T16</f>
        <v>52.57</v>
      </c>
      <c r="U17" s="51"/>
      <c r="V17" s="51"/>
      <c r="W17" s="51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57">
        <f t="shared" si="0"/>
        <v>212.42000000000002</v>
      </c>
      <c r="CL17" s="94"/>
      <c r="CM17" s="8"/>
      <c r="CN17" s="8"/>
      <c r="CO17" s="8"/>
      <c r="CP17" s="8"/>
      <c r="CQ17" s="94" t="s">
        <v>293</v>
      </c>
      <c r="CR17" s="148"/>
      <c r="CS17" s="149"/>
    </row>
    <row r="18" spans="1:97" ht="16.5" customHeight="1" x14ac:dyDescent="0.25">
      <c r="A18" s="160"/>
      <c r="B18" s="48" t="s">
        <v>164</v>
      </c>
      <c r="C18" s="49" t="s">
        <v>12</v>
      </c>
      <c r="D18" s="51"/>
      <c r="E18" s="51">
        <f>29.7-(1.4+1.01+1.05+1.4)</f>
        <v>24.84</v>
      </c>
      <c r="F18" s="51"/>
      <c r="G18" s="51"/>
      <c r="H18" s="51"/>
      <c r="I18" s="51"/>
      <c r="J18" s="51">
        <f>30.16-1.4-1.4-1.05-1.05</f>
        <v>25.26</v>
      </c>
      <c r="K18" s="51"/>
      <c r="L18" s="51"/>
      <c r="M18" s="51"/>
      <c r="N18" s="51"/>
      <c r="O18" s="51">
        <f>30.16-1.4-1.4-1.05-1.05</f>
        <v>25.26</v>
      </c>
      <c r="P18" s="51"/>
      <c r="Q18" s="51"/>
      <c r="R18" s="51"/>
      <c r="S18" s="51"/>
      <c r="T18" s="51">
        <f>29.7-(1.4+1.01+1.05+1.4)</f>
        <v>24.84</v>
      </c>
      <c r="U18" s="51"/>
      <c r="V18" s="51"/>
      <c r="W18" s="51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57">
        <f t="shared" si="0"/>
        <v>100.2</v>
      </c>
      <c r="CL18" s="94"/>
      <c r="CM18" s="8"/>
      <c r="CN18" s="8"/>
      <c r="CO18" s="8"/>
      <c r="CP18" s="8"/>
      <c r="CQ18" s="8"/>
      <c r="CR18" s="148"/>
      <c r="CS18" s="149"/>
    </row>
    <row r="19" spans="1:97" s="2" customFormat="1" ht="45" x14ac:dyDescent="0.25">
      <c r="A19" s="58" t="s">
        <v>34</v>
      </c>
      <c r="B19" s="59" t="s">
        <v>239</v>
      </c>
      <c r="C19" s="60"/>
      <c r="D19" s="61"/>
      <c r="E19" s="61"/>
      <c r="F19" s="61"/>
      <c r="G19" s="61"/>
      <c r="H19" s="61"/>
      <c r="I19" s="61"/>
      <c r="J19" s="65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94"/>
      <c r="CM19" s="8"/>
      <c r="CN19" s="8"/>
      <c r="CO19" s="8"/>
      <c r="CP19" s="8"/>
      <c r="CQ19" s="8"/>
      <c r="CR19" s="148"/>
      <c r="CS19" s="147"/>
    </row>
    <row r="20" spans="1:97" x14ac:dyDescent="0.25">
      <c r="A20" s="161" t="s">
        <v>208</v>
      </c>
      <c r="B20" s="48" t="s">
        <v>165</v>
      </c>
      <c r="C20" s="49" t="s">
        <v>11</v>
      </c>
      <c r="D20" s="10">
        <f>46.48</f>
        <v>46.48</v>
      </c>
      <c r="E20" s="10"/>
      <c r="F20" s="10"/>
      <c r="G20" s="10"/>
      <c r="H20" s="10">
        <v>25.75</v>
      </c>
      <c r="I20" s="10">
        <v>51.12</v>
      </c>
      <c r="J20" s="10"/>
      <c r="K20" s="10"/>
      <c r="L20" s="10"/>
      <c r="M20" s="10">
        <f>26.62</f>
        <v>26.62</v>
      </c>
      <c r="N20" s="10">
        <v>51.13</v>
      </c>
      <c r="O20" s="10"/>
      <c r="P20" s="10"/>
      <c r="Q20" s="10"/>
      <c r="R20" s="10">
        <v>26.06</v>
      </c>
      <c r="S20" s="10">
        <v>46.22</v>
      </c>
      <c r="T20" s="10"/>
      <c r="U20" s="10"/>
      <c r="V20" s="10"/>
      <c r="W20" s="10">
        <v>26.2</v>
      </c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>
        <v>12.76</v>
      </c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>
        <v>16.78</v>
      </c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57">
        <f t="shared" ref="CK20:CK26" si="1">SUM(D20:CJ20)</f>
        <v>329.12</v>
      </c>
      <c r="CL20" s="94"/>
      <c r="CM20" s="8"/>
      <c r="CN20" s="8"/>
      <c r="CO20" s="8"/>
      <c r="CP20" s="8"/>
      <c r="CQ20" s="8"/>
      <c r="CR20" s="148"/>
      <c r="CS20" s="149"/>
    </row>
    <row r="21" spans="1:97" x14ac:dyDescent="0.25">
      <c r="A21" s="161"/>
      <c r="B21" s="46" t="s">
        <v>166</v>
      </c>
      <c r="C21" s="49" t="s">
        <v>11</v>
      </c>
      <c r="D21" s="10">
        <f t="shared" ref="D21:D25" si="2">D20</f>
        <v>46.48</v>
      </c>
      <c r="E21" s="10"/>
      <c r="F21" s="10"/>
      <c r="G21" s="10"/>
      <c r="H21" s="10">
        <f t="shared" ref="H21:I24" si="3">H20</f>
        <v>25.75</v>
      </c>
      <c r="I21" s="10">
        <f t="shared" si="3"/>
        <v>51.12</v>
      </c>
      <c r="J21" s="10"/>
      <c r="K21" s="10"/>
      <c r="L21" s="10"/>
      <c r="M21" s="10">
        <f t="shared" ref="M21:N24" si="4">M20</f>
        <v>26.62</v>
      </c>
      <c r="N21" s="10">
        <f t="shared" si="4"/>
        <v>51.13</v>
      </c>
      <c r="O21" s="10"/>
      <c r="P21" s="10"/>
      <c r="Q21" s="10"/>
      <c r="R21" s="10">
        <f t="shared" ref="R21:S24" si="5">R20</f>
        <v>26.06</v>
      </c>
      <c r="S21" s="10">
        <f t="shared" si="5"/>
        <v>46.22</v>
      </c>
      <c r="T21" s="10"/>
      <c r="U21" s="10"/>
      <c r="V21" s="10"/>
      <c r="W21" s="10">
        <f t="shared" ref="W21:W25" si="6">W20</f>
        <v>26.2</v>
      </c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>
        <f t="shared" ref="AR21:AR25" si="7">AR20</f>
        <v>12.76</v>
      </c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>
        <f t="shared" ref="BO21:BO24" si="8">BO20</f>
        <v>16.78</v>
      </c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57">
        <f t="shared" si="1"/>
        <v>329.12</v>
      </c>
      <c r="CL21" s="94"/>
      <c r="CM21" s="8"/>
      <c r="CN21" s="8"/>
      <c r="CO21" s="8"/>
      <c r="CP21" s="8"/>
      <c r="CQ21" s="8"/>
      <c r="CR21" s="148"/>
      <c r="CS21" s="149"/>
    </row>
    <row r="22" spans="1:97" ht="30" x14ac:dyDescent="0.25">
      <c r="A22" s="161"/>
      <c r="B22" s="48" t="s">
        <v>167</v>
      </c>
      <c r="C22" s="49" t="s">
        <v>11</v>
      </c>
      <c r="D22" s="10">
        <f t="shared" si="2"/>
        <v>46.48</v>
      </c>
      <c r="E22" s="10"/>
      <c r="F22" s="10"/>
      <c r="G22" s="10"/>
      <c r="H22" s="10">
        <f t="shared" si="3"/>
        <v>25.75</v>
      </c>
      <c r="I22" s="10">
        <f t="shared" si="3"/>
        <v>51.12</v>
      </c>
      <c r="J22" s="10"/>
      <c r="K22" s="10"/>
      <c r="L22" s="10"/>
      <c r="M22" s="10">
        <f t="shared" si="4"/>
        <v>26.62</v>
      </c>
      <c r="N22" s="10">
        <f t="shared" si="4"/>
        <v>51.13</v>
      </c>
      <c r="O22" s="10"/>
      <c r="P22" s="10"/>
      <c r="Q22" s="10"/>
      <c r="R22" s="10">
        <f t="shared" si="5"/>
        <v>26.06</v>
      </c>
      <c r="S22" s="10">
        <f t="shared" si="5"/>
        <v>46.22</v>
      </c>
      <c r="T22" s="10"/>
      <c r="U22" s="10"/>
      <c r="V22" s="10"/>
      <c r="W22" s="10">
        <f t="shared" si="6"/>
        <v>26.2</v>
      </c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>
        <f t="shared" si="7"/>
        <v>12.76</v>
      </c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>
        <f t="shared" si="8"/>
        <v>16.78</v>
      </c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57">
        <f t="shared" si="1"/>
        <v>329.12</v>
      </c>
      <c r="CL22" s="94"/>
      <c r="CM22" s="8"/>
      <c r="CN22" s="8"/>
      <c r="CO22" s="8"/>
      <c r="CP22" s="8"/>
      <c r="CQ22" s="8"/>
      <c r="CR22" s="148"/>
      <c r="CS22" s="149"/>
    </row>
    <row r="23" spans="1:97" ht="30" x14ac:dyDescent="0.25">
      <c r="A23" s="161"/>
      <c r="B23" s="48" t="s">
        <v>177</v>
      </c>
      <c r="C23" s="49" t="s">
        <v>11</v>
      </c>
      <c r="D23" s="10">
        <f>D22</f>
        <v>46.48</v>
      </c>
      <c r="E23" s="10"/>
      <c r="F23" s="10"/>
      <c r="G23" s="10"/>
      <c r="H23" s="10">
        <f>H22</f>
        <v>25.75</v>
      </c>
      <c r="I23" s="156">
        <f>I22</f>
        <v>51.12</v>
      </c>
      <c r="J23" s="156"/>
      <c r="K23" s="156"/>
      <c r="L23" s="156"/>
      <c r="M23" s="156">
        <f>M22</f>
        <v>26.62</v>
      </c>
      <c r="N23" s="156">
        <f>N22</f>
        <v>51.13</v>
      </c>
      <c r="O23" s="156"/>
      <c r="P23" s="156"/>
      <c r="Q23" s="156"/>
      <c r="R23" s="156">
        <f>R22</f>
        <v>26.06</v>
      </c>
      <c r="S23" s="156">
        <f>S22</f>
        <v>46.22</v>
      </c>
      <c r="T23" s="156"/>
      <c r="U23" s="156"/>
      <c r="V23" s="156"/>
      <c r="W23" s="156">
        <f>W22</f>
        <v>26.2</v>
      </c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>
        <f>AR22</f>
        <v>12.76</v>
      </c>
      <c r="AS23" s="156"/>
      <c r="AT23" s="156"/>
      <c r="AU23" s="156"/>
      <c r="AV23" s="156"/>
      <c r="AW23" s="156"/>
      <c r="AX23" s="156"/>
      <c r="AY23" s="156"/>
      <c r="AZ23" s="156"/>
      <c r="BA23" s="156"/>
      <c r="BB23" s="156"/>
      <c r="BC23" s="156"/>
      <c r="BD23" s="156"/>
      <c r="BE23" s="156"/>
      <c r="BF23" s="156"/>
      <c r="BG23" s="156"/>
      <c r="BH23" s="156"/>
      <c r="BI23" s="156"/>
      <c r="BJ23" s="156"/>
      <c r="BK23" s="156"/>
      <c r="BL23" s="156"/>
      <c r="BM23" s="156"/>
      <c r="BN23" s="156"/>
      <c r="BO23" s="156">
        <f>BO22</f>
        <v>16.78</v>
      </c>
      <c r="BP23" s="156"/>
      <c r="BQ23" s="156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57">
        <f t="shared" si="1"/>
        <v>329.12</v>
      </c>
      <c r="CL23" s="94"/>
      <c r="CM23" s="8"/>
      <c r="CN23" s="8"/>
      <c r="CO23" s="8"/>
      <c r="CP23" s="8"/>
      <c r="CQ23" s="8"/>
      <c r="CR23" s="148"/>
      <c r="CS23" s="149"/>
    </row>
    <row r="24" spans="1:97" x14ac:dyDescent="0.25">
      <c r="A24" s="161"/>
      <c r="B24" s="48" t="s">
        <v>170</v>
      </c>
      <c r="C24" s="49" t="s">
        <v>11</v>
      </c>
      <c r="D24" s="10">
        <f t="shared" si="2"/>
        <v>46.48</v>
      </c>
      <c r="E24" s="10"/>
      <c r="F24" s="10"/>
      <c r="G24" s="10"/>
      <c r="H24" s="10">
        <f t="shared" si="3"/>
        <v>25.75</v>
      </c>
      <c r="I24" s="10">
        <f t="shared" si="3"/>
        <v>51.12</v>
      </c>
      <c r="J24" s="10"/>
      <c r="K24" s="10"/>
      <c r="L24" s="10"/>
      <c r="M24" s="10">
        <f t="shared" si="4"/>
        <v>26.62</v>
      </c>
      <c r="N24" s="10">
        <f t="shared" si="4"/>
        <v>51.13</v>
      </c>
      <c r="O24" s="10"/>
      <c r="P24" s="10"/>
      <c r="Q24" s="10"/>
      <c r="R24" s="10">
        <f t="shared" si="5"/>
        <v>26.06</v>
      </c>
      <c r="S24" s="10">
        <f t="shared" si="5"/>
        <v>46.22</v>
      </c>
      <c r="T24" s="10"/>
      <c r="U24" s="10"/>
      <c r="V24" s="10"/>
      <c r="W24" s="10">
        <f t="shared" si="6"/>
        <v>26.2</v>
      </c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>
        <f t="shared" si="7"/>
        <v>12.76</v>
      </c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>
        <f t="shared" si="8"/>
        <v>16.78</v>
      </c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57">
        <f t="shared" si="1"/>
        <v>329.12</v>
      </c>
      <c r="CL24" s="94"/>
      <c r="CM24" s="8"/>
      <c r="CN24" s="8"/>
      <c r="CO24" s="8"/>
      <c r="CP24" s="8"/>
      <c r="CQ24" s="8"/>
      <c r="CR24" s="148"/>
      <c r="CS24" s="149"/>
    </row>
    <row r="25" spans="1:97" x14ac:dyDescent="0.25">
      <c r="A25" s="161"/>
      <c r="B25" s="48" t="s">
        <v>294</v>
      </c>
      <c r="C25" s="49" t="s">
        <v>11</v>
      </c>
      <c r="D25" s="10">
        <f t="shared" si="2"/>
        <v>46.48</v>
      </c>
      <c r="E25" s="10"/>
      <c r="F25" s="10"/>
      <c r="G25" s="10"/>
      <c r="H25" s="10">
        <f>H24</f>
        <v>25.75</v>
      </c>
      <c r="I25" s="10">
        <f>I24</f>
        <v>51.12</v>
      </c>
      <c r="J25" s="10"/>
      <c r="K25" s="10"/>
      <c r="L25" s="10"/>
      <c r="M25" s="10">
        <f>M24</f>
        <v>26.62</v>
      </c>
      <c r="N25" s="10">
        <f>N24</f>
        <v>51.13</v>
      </c>
      <c r="O25" s="10"/>
      <c r="P25" s="10"/>
      <c r="Q25" s="10"/>
      <c r="R25" s="10">
        <f>R24</f>
        <v>26.06</v>
      </c>
      <c r="S25" s="10">
        <f>S24</f>
        <v>46.22</v>
      </c>
      <c r="T25" s="10"/>
      <c r="U25" s="10"/>
      <c r="V25" s="10"/>
      <c r="W25" s="10">
        <f t="shared" si="6"/>
        <v>26.2</v>
      </c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>
        <f t="shared" si="7"/>
        <v>12.76</v>
      </c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>
        <f>BO24</f>
        <v>16.78</v>
      </c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57">
        <f t="shared" si="1"/>
        <v>329.12</v>
      </c>
      <c r="CL25" s="94"/>
      <c r="CM25" s="8"/>
      <c r="CN25" s="8"/>
      <c r="CO25" s="8"/>
      <c r="CP25" s="8"/>
      <c r="CQ25" s="94" t="s">
        <v>293</v>
      </c>
      <c r="CR25" s="148"/>
      <c r="CS25" s="149"/>
    </row>
    <row r="26" spans="1:97" x14ac:dyDescent="0.25">
      <c r="A26" s="161"/>
      <c r="B26" s="48" t="s">
        <v>164</v>
      </c>
      <c r="C26" s="49" t="s">
        <v>12</v>
      </c>
      <c r="D26" s="10">
        <f>30.9-1.6-1.01-1.4</f>
        <v>26.889999999999997</v>
      </c>
      <c r="E26" s="10"/>
      <c r="F26" s="10"/>
      <c r="G26" s="10"/>
      <c r="H26" s="10">
        <f>25.52-1.4-1.6-1.6</f>
        <v>20.919999999999998</v>
      </c>
      <c r="I26" s="10">
        <f>29.62-1.6-1.01-1.6</f>
        <v>25.409999999999997</v>
      </c>
      <c r="J26" s="10"/>
      <c r="K26" s="10"/>
      <c r="L26" s="10"/>
      <c r="M26" s="10">
        <f>25.31-1.4-1.6-1.6</f>
        <v>20.709999999999997</v>
      </c>
      <c r="N26" s="10">
        <f>25.31-1.4-1.6-1.6</f>
        <v>20.709999999999997</v>
      </c>
      <c r="O26" s="10"/>
      <c r="P26" s="10"/>
      <c r="Q26" s="10"/>
      <c r="R26" s="10">
        <f>24.92-1.4-1.6-1.6</f>
        <v>20.32</v>
      </c>
      <c r="S26" s="10">
        <f>30.5-1.4-1.6</f>
        <v>27.5</v>
      </c>
      <c r="T26" s="10"/>
      <c r="U26" s="10"/>
      <c r="V26" s="10"/>
      <c r="W26" s="10">
        <f>25.41-1.6-1.6-1.4</f>
        <v>20.81</v>
      </c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>
        <f>14.55-1.05</f>
        <v>13.5</v>
      </c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>
        <f>16.78-1.01-1.05</f>
        <v>14.72</v>
      </c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57">
        <f t="shared" si="1"/>
        <v>211.48999999999998</v>
      </c>
      <c r="CL26" s="94"/>
      <c r="CM26" s="8"/>
      <c r="CN26" s="8"/>
      <c r="CO26" s="8"/>
      <c r="CP26" s="8"/>
      <c r="CQ26" s="8"/>
      <c r="CR26" s="148"/>
      <c r="CS26" s="149"/>
    </row>
    <row r="27" spans="1:97" ht="75" x14ac:dyDescent="0.25">
      <c r="A27" s="67" t="s">
        <v>35</v>
      </c>
      <c r="B27" s="68" t="s">
        <v>240</v>
      </c>
      <c r="C27" s="69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1"/>
      <c r="CL27" s="72"/>
      <c r="CM27" s="73"/>
      <c r="CN27" s="73"/>
      <c r="CO27" s="73"/>
      <c r="CP27" s="73"/>
      <c r="CQ27" s="73"/>
      <c r="CR27" s="150"/>
      <c r="CS27" s="151"/>
    </row>
    <row r="28" spans="1:97" ht="30" x14ac:dyDescent="0.25">
      <c r="A28" s="47" t="s">
        <v>214</v>
      </c>
      <c r="B28" s="107" t="s">
        <v>209</v>
      </c>
      <c r="C28" s="56" t="s">
        <v>11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>
        <f>85.42-23.08</f>
        <v>62.34</v>
      </c>
      <c r="Y28" s="10">
        <f>27.24</f>
        <v>27.24</v>
      </c>
      <c r="Z28" s="10">
        <f>5.51</f>
        <v>5.51</v>
      </c>
      <c r="AA28" s="10">
        <f>4.56</f>
        <v>4.5599999999999996</v>
      </c>
      <c r="AB28" s="10">
        <f>12.21</f>
        <v>12.21</v>
      </c>
      <c r="AC28" s="10">
        <f>5.55</f>
        <v>5.55</v>
      </c>
      <c r="AD28" s="10">
        <v>4.37</v>
      </c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57">
        <f>SUM(D28:CJ28)</f>
        <v>121.78000000000002</v>
      </c>
      <c r="CL28" s="94"/>
      <c r="CM28" s="8"/>
      <c r="CN28" s="8"/>
      <c r="CO28" s="8"/>
      <c r="CP28" s="8"/>
      <c r="CQ28" s="8"/>
      <c r="CR28" s="148"/>
      <c r="CS28" s="149"/>
    </row>
    <row r="29" spans="1:97" ht="30" x14ac:dyDescent="0.25">
      <c r="A29" s="47" t="s">
        <v>214</v>
      </c>
      <c r="B29" s="107" t="s">
        <v>210</v>
      </c>
      <c r="C29" s="56" t="s">
        <v>11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>
        <f>X28</f>
        <v>62.34</v>
      </c>
      <c r="Y29" s="10">
        <f>Y28</f>
        <v>27.24</v>
      </c>
      <c r="Z29" s="10">
        <f>5.51</f>
        <v>5.51</v>
      </c>
      <c r="AA29" s="10">
        <f>AA28</f>
        <v>4.5599999999999996</v>
      </c>
      <c r="AB29" s="10">
        <f>AB28</f>
        <v>12.21</v>
      </c>
      <c r="AC29" s="10">
        <f>5.55</f>
        <v>5.55</v>
      </c>
      <c r="AD29" s="10">
        <f>AD28</f>
        <v>4.37</v>
      </c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57">
        <f t="shared" ref="CK29:CK35" si="9">SUM(D29:CJ29)</f>
        <v>121.78000000000002</v>
      </c>
      <c r="CL29" s="94"/>
      <c r="CM29" s="8"/>
      <c r="CN29" s="8"/>
      <c r="CO29" s="8"/>
      <c r="CP29" s="8"/>
      <c r="CQ29" s="8"/>
      <c r="CR29" s="148"/>
      <c r="CS29" s="149"/>
    </row>
    <row r="30" spans="1:97" ht="30" x14ac:dyDescent="0.25">
      <c r="A30" s="47" t="s">
        <v>214</v>
      </c>
      <c r="B30" s="107" t="s">
        <v>212</v>
      </c>
      <c r="C30" s="56" t="s">
        <v>11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>
        <f>X29</f>
        <v>62.34</v>
      </c>
      <c r="Y30" s="10">
        <f>Y29</f>
        <v>27.24</v>
      </c>
      <c r="Z30" s="10">
        <f>5.51</f>
        <v>5.51</v>
      </c>
      <c r="AA30" s="10"/>
      <c r="AB30" s="10">
        <f>AB29</f>
        <v>12.21</v>
      </c>
      <c r="AC30" s="10">
        <f>5.55</f>
        <v>5.55</v>
      </c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57">
        <f t="shared" si="9"/>
        <v>112.85000000000001</v>
      </c>
      <c r="CL30" s="94"/>
      <c r="CM30" s="8"/>
      <c r="CN30" s="8"/>
      <c r="CO30" s="8"/>
      <c r="CP30" s="8"/>
      <c r="CQ30" s="8"/>
      <c r="CR30" s="148"/>
      <c r="CS30" s="149"/>
    </row>
    <row r="31" spans="1:97" ht="30" x14ac:dyDescent="0.25">
      <c r="A31" s="47" t="s">
        <v>215</v>
      </c>
      <c r="B31" s="48" t="s">
        <v>213</v>
      </c>
      <c r="C31" s="108" t="s">
        <v>11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>
        <f>AA29</f>
        <v>4.5599999999999996</v>
      </c>
      <c r="AB31" s="10"/>
      <c r="AC31" s="10"/>
      <c r="AD31" s="10">
        <f>AD29</f>
        <v>4.37</v>
      </c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57">
        <f t="shared" si="9"/>
        <v>8.93</v>
      </c>
      <c r="CL31" s="94"/>
      <c r="CM31" s="8"/>
      <c r="CN31" s="8"/>
      <c r="CO31" s="8"/>
      <c r="CP31" s="8"/>
      <c r="CQ31" s="8"/>
      <c r="CR31" s="148"/>
      <c r="CS31" s="149"/>
    </row>
    <row r="32" spans="1:97" ht="75" x14ac:dyDescent="0.25">
      <c r="A32" s="47" t="s">
        <v>214</v>
      </c>
      <c r="B32" s="187" t="s">
        <v>288</v>
      </c>
      <c r="C32" s="56" t="s">
        <v>11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>
        <f>X30</f>
        <v>62.34</v>
      </c>
      <c r="Y32" s="10"/>
      <c r="Z32" s="10">
        <f>5.51</f>
        <v>5.51</v>
      </c>
      <c r="AA32" s="10">
        <f>AA31</f>
        <v>4.5599999999999996</v>
      </c>
      <c r="AB32" s="10"/>
      <c r="AC32" s="10">
        <f>5.55</f>
        <v>5.55</v>
      </c>
      <c r="AD32" s="10">
        <f>AD31</f>
        <v>4.37</v>
      </c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57">
        <f t="shared" si="9"/>
        <v>82.330000000000013</v>
      </c>
      <c r="CL32" s="94"/>
      <c r="CM32" s="8"/>
      <c r="CN32" s="8"/>
      <c r="CO32" s="8"/>
      <c r="CP32" s="8"/>
      <c r="CQ32" s="8"/>
      <c r="CR32" s="148"/>
      <c r="CS32" s="149"/>
    </row>
    <row r="33" spans="1:97" ht="75" x14ac:dyDescent="0.25">
      <c r="A33" s="47" t="s">
        <v>201</v>
      </c>
      <c r="B33" s="187" t="s">
        <v>289</v>
      </c>
      <c r="C33" s="108" t="s">
        <v>11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>
        <f>Y30</f>
        <v>27.24</v>
      </c>
      <c r="Z33" s="10"/>
      <c r="AA33" s="10"/>
      <c r="AB33" s="10">
        <f>AB30</f>
        <v>12.21</v>
      </c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57">
        <f t="shared" si="9"/>
        <v>39.450000000000003</v>
      </c>
      <c r="CL33" s="94"/>
      <c r="CM33" s="8"/>
      <c r="CN33" s="8"/>
      <c r="CO33" s="8"/>
      <c r="CP33" s="8"/>
      <c r="CQ33" s="8"/>
      <c r="CR33" s="148"/>
      <c r="CS33" s="149"/>
    </row>
    <row r="34" spans="1:97" ht="45" x14ac:dyDescent="0.25">
      <c r="A34" s="47" t="s">
        <v>214</v>
      </c>
      <c r="B34" s="48" t="s">
        <v>225</v>
      </c>
      <c r="C34" s="49" t="s">
        <v>11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>
        <f>Y33</f>
        <v>27.24</v>
      </c>
      <c r="Z34" s="10"/>
      <c r="AA34" s="10">
        <f>AA31</f>
        <v>4.5599999999999996</v>
      </c>
      <c r="AB34" s="10">
        <f>AB33</f>
        <v>12.21</v>
      </c>
      <c r="AC34" s="10"/>
      <c r="AD34" s="10">
        <f>AD31</f>
        <v>4.37</v>
      </c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57">
        <f t="shared" si="9"/>
        <v>48.379999999999995</v>
      </c>
      <c r="CL34" s="94"/>
      <c r="CM34" s="8"/>
      <c r="CN34" s="8"/>
      <c r="CO34" s="8"/>
      <c r="CP34" s="8"/>
      <c r="CQ34" s="8"/>
      <c r="CR34" s="148"/>
      <c r="CS34" s="149"/>
    </row>
    <row r="35" spans="1:97" ht="45" x14ac:dyDescent="0.25">
      <c r="A35" s="47" t="s">
        <v>214</v>
      </c>
      <c r="B35" s="48" t="s">
        <v>290</v>
      </c>
      <c r="C35" s="49" t="s">
        <v>11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>
        <f>Y34</f>
        <v>27.24</v>
      </c>
      <c r="Z35" s="10"/>
      <c r="AA35" s="10">
        <f>AA34</f>
        <v>4.5599999999999996</v>
      </c>
      <c r="AB35" s="10">
        <f>AB34</f>
        <v>12.21</v>
      </c>
      <c r="AC35" s="10"/>
      <c r="AD35" s="10">
        <f>AD34</f>
        <v>4.37</v>
      </c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57">
        <f t="shared" si="9"/>
        <v>48.379999999999995</v>
      </c>
      <c r="CL35" s="94"/>
      <c r="CM35" s="8"/>
      <c r="CN35" s="8"/>
      <c r="CO35" s="8"/>
      <c r="CP35" s="8"/>
      <c r="CQ35" s="94" t="s">
        <v>292</v>
      </c>
      <c r="CR35" s="148"/>
      <c r="CS35" s="149"/>
    </row>
    <row r="36" spans="1:97" x14ac:dyDescent="0.25">
      <c r="A36" s="58" t="s">
        <v>36</v>
      </c>
      <c r="B36" s="59" t="s">
        <v>178</v>
      </c>
      <c r="C36" s="60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6"/>
      <c r="AB36" s="62"/>
      <c r="AC36" s="62"/>
      <c r="AD36" s="66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1">
        <f t="shared" ref="CK36:CK42" si="10">SUM(D36:CJ36)</f>
        <v>0</v>
      </c>
      <c r="CL36" s="74"/>
      <c r="CM36" s="75"/>
      <c r="CN36" s="75"/>
      <c r="CO36" s="75"/>
      <c r="CP36" s="75"/>
      <c r="CQ36" s="75"/>
      <c r="CR36" s="152"/>
      <c r="CS36" s="153"/>
    </row>
    <row r="37" spans="1:97" x14ac:dyDescent="0.25">
      <c r="A37" s="161" t="s">
        <v>207</v>
      </c>
      <c r="B37" s="48" t="s">
        <v>165</v>
      </c>
      <c r="C37" s="49" t="s">
        <v>11</v>
      </c>
      <c r="D37" s="10"/>
      <c r="E37" s="10"/>
      <c r="F37" s="10"/>
      <c r="G37" s="10">
        <v>16.510000000000002</v>
      </c>
      <c r="H37" s="10"/>
      <c r="I37" s="10"/>
      <c r="J37" s="10"/>
      <c r="K37" s="10"/>
      <c r="L37" s="10">
        <v>15.1</v>
      </c>
      <c r="M37" s="10"/>
      <c r="N37" s="10"/>
      <c r="O37" s="10"/>
      <c r="P37" s="10"/>
      <c r="Q37" s="10">
        <v>15.05</v>
      </c>
      <c r="R37" s="10"/>
      <c r="S37" s="10"/>
      <c r="T37" s="10"/>
      <c r="U37" s="10"/>
      <c r="V37" s="10">
        <v>16.52</v>
      </c>
      <c r="W37" s="10"/>
      <c r="X37" s="10"/>
      <c r="Y37" s="10"/>
      <c r="Z37" s="10"/>
      <c r="AA37" s="55"/>
      <c r="AB37" s="10"/>
      <c r="AC37" s="10"/>
      <c r="AD37" s="55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57">
        <f t="shared" si="10"/>
        <v>63.179999999999993</v>
      </c>
      <c r="CL37" s="94"/>
      <c r="CM37" s="8"/>
      <c r="CN37" s="8"/>
      <c r="CO37" s="8"/>
      <c r="CP37" s="8"/>
      <c r="CQ37" s="8"/>
      <c r="CR37" s="148"/>
      <c r="CS37" s="149"/>
    </row>
    <row r="38" spans="1:97" x14ac:dyDescent="0.25">
      <c r="A38" s="161"/>
      <c r="B38" s="107" t="s">
        <v>241</v>
      </c>
      <c r="C38" s="49" t="s">
        <v>11</v>
      </c>
      <c r="D38" s="10"/>
      <c r="E38" s="10"/>
      <c r="F38" s="10"/>
      <c r="G38" s="10">
        <f t="shared" ref="G38:G40" si="11">G37</f>
        <v>16.510000000000002</v>
      </c>
      <c r="H38" s="10"/>
      <c r="I38" s="10"/>
      <c r="J38" s="10"/>
      <c r="K38" s="10"/>
      <c r="L38" s="10">
        <f t="shared" ref="L38:L40" si="12">L37</f>
        <v>15.1</v>
      </c>
      <c r="M38" s="10"/>
      <c r="N38" s="10"/>
      <c r="O38" s="10"/>
      <c r="P38" s="10"/>
      <c r="Q38" s="10">
        <f t="shared" ref="Q38:Q40" si="13">Q37</f>
        <v>15.05</v>
      </c>
      <c r="R38" s="10"/>
      <c r="S38" s="10"/>
      <c r="T38" s="10"/>
      <c r="U38" s="10"/>
      <c r="V38" s="10">
        <f t="shared" ref="V38:V40" si="14">V37</f>
        <v>16.52</v>
      </c>
      <c r="W38" s="10"/>
      <c r="X38" s="10"/>
      <c r="Y38" s="10"/>
      <c r="Z38" s="10"/>
      <c r="AA38" s="55"/>
      <c r="AB38" s="10"/>
      <c r="AC38" s="10"/>
      <c r="AD38" s="55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57">
        <f t="shared" si="10"/>
        <v>63.179999999999993</v>
      </c>
      <c r="CL38" s="94"/>
      <c r="CM38" s="8"/>
      <c r="CN38" s="8"/>
      <c r="CO38" s="8"/>
      <c r="CP38" s="8"/>
      <c r="CQ38" s="8"/>
      <c r="CR38" s="148"/>
      <c r="CS38" s="149"/>
    </row>
    <row r="39" spans="1:97" ht="30" x14ac:dyDescent="0.25">
      <c r="A39" s="161"/>
      <c r="B39" s="48" t="s">
        <v>291</v>
      </c>
      <c r="C39" s="49" t="s">
        <v>11</v>
      </c>
      <c r="D39" s="10"/>
      <c r="E39" s="10"/>
      <c r="F39" s="10"/>
      <c r="G39" s="10">
        <f t="shared" si="11"/>
        <v>16.510000000000002</v>
      </c>
      <c r="H39" s="10"/>
      <c r="I39" s="10"/>
      <c r="J39" s="10"/>
      <c r="K39" s="10"/>
      <c r="L39" s="10">
        <f t="shared" si="12"/>
        <v>15.1</v>
      </c>
      <c r="M39" s="10"/>
      <c r="N39" s="10"/>
      <c r="O39" s="10"/>
      <c r="P39" s="10"/>
      <c r="Q39" s="10">
        <f t="shared" si="13"/>
        <v>15.05</v>
      </c>
      <c r="R39" s="10"/>
      <c r="S39" s="10"/>
      <c r="T39" s="10"/>
      <c r="U39" s="10"/>
      <c r="V39" s="10">
        <f t="shared" si="14"/>
        <v>16.52</v>
      </c>
      <c r="W39" s="10"/>
      <c r="X39" s="10"/>
      <c r="Y39" s="10"/>
      <c r="Z39" s="10"/>
      <c r="AA39" s="55"/>
      <c r="AB39" s="10"/>
      <c r="AC39" s="10"/>
      <c r="AD39" s="55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57">
        <f t="shared" si="10"/>
        <v>63.179999999999993</v>
      </c>
      <c r="CL39" s="94"/>
      <c r="CM39" s="8"/>
      <c r="CN39" s="8"/>
      <c r="CO39" s="8"/>
      <c r="CP39" s="8"/>
      <c r="CQ39" s="8"/>
      <c r="CR39" s="148"/>
      <c r="CS39" s="149"/>
    </row>
    <row r="40" spans="1:97" ht="45" x14ac:dyDescent="0.25">
      <c r="A40" s="161"/>
      <c r="B40" s="48" t="s">
        <v>216</v>
      </c>
      <c r="C40" s="49" t="s">
        <v>11</v>
      </c>
      <c r="D40" s="10"/>
      <c r="E40" s="10"/>
      <c r="F40" s="10"/>
      <c r="G40" s="10">
        <f t="shared" si="11"/>
        <v>16.510000000000002</v>
      </c>
      <c r="H40" s="10"/>
      <c r="I40" s="10"/>
      <c r="J40" s="10"/>
      <c r="K40" s="10"/>
      <c r="L40" s="10">
        <f t="shared" si="12"/>
        <v>15.1</v>
      </c>
      <c r="M40" s="10"/>
      <c r="N40" s="10"/>
      <c r="O40" s="10"/>
      <c r="P40" s="10"/>
      <c r="Q40" s="10">
        <f t="shared" si="13"/>
        <v>15.05</v>
      </c>
      <c r="R40" s="10"/>
      <c r="S40" s="10"/>
      <c r="T40" s="10"/>
      <c r="U40" s="10"/>
      <c r="V40" s="10">
        <f t="shared" si="14"/>
        <v>16.52</v>
      </c>
      <c r="W40" s="10"/>
      <c r="X40" s="10"/>
      <c r="Y40" s="10"/>
      <c r="Z40" s="10"/>
      <c r="AA40" s="55"/>
      <c r="AB40" s="10"/>
      <c r="AC40" s="10"/>
      <c r="AD40" s="55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57">
        <f t="shared" si="10"/>
        <v>63.179999999999993</v>
      </c>
      <c r="CL40" s="94"/>
      <c r="CM40" s="8"/>
      <c r="CN40" s="8"/>
      <c r="CO40" s="8"/>
      <c r="CP40" s="8"/>
      <c r="CQ40" s="8"/>
      <c r="CR40" s="148"/>
      <c r="CS40" s="149"/>
    </row>
    <row r="41" spans="1:97" ht="30" x14ac:dyDescent="0.25">
      <c r="A41" s="161"/>
      <c r="B41" s="48" t="s">
        <v>175</v>
      </c>
      <c r="C41" s="49" t="s">
        <v>11</v>
      </c>
      <c r="D41" s="10"/>
      <c r="E41" s="10"/>
      <c r="F41" s="10"/>
      <c r="G41" s="10">
        <f>G40</f>
        <v>16.510000000000002</v>
      </c>
      <c r="H41" s="10"/>
      <c r="I41" s="10"/>
      <c r="J41" s="10"/>
      <c r="K41" s="10"/>
      <c r="L41" s="10">
        <f>L40</f>
        <v>15.1</v>
      </c>
      <c r="M41" s="10"/>
      <c r="N41" s="10"/>
      <c r="O41" s="10"/>
      <c r="P41" s="10"/>
      <c r="Q41" s="10">
        <f>Q40</f>
        <v>15.05</v>
      </c>
      <c r="R41" s="10"/>
      <c r="S41" s="10"/>
      <c r="T41" s="10"/>
      <c r="U41" s="10"/>
      <c r="V41" s="10">
        <f>V40</f>
        <v>16.52</v>
      </c>
      <c r="W41" s="10"/>
      <c r="X41" s="10"/>
      <c r="Y41" s="10"/>
      <c r="Z41" s="10"/>
      <c r="AA41" s="55"/>
      <c r="AB41" s="10"/>
      <c r="AC41" s="10"/>
      <c r="AD41" s="55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57">
        <f t="shared" si="10"/>
        <v>63.179999999999993</v>
      </c>
      <c r="CL41" s="94"/>
      <c r="CM41" s="8"/>
      <c r="CN41" s="8"/>
      <c r="CO41" s="8"/>
      <c r="CP41" s="8"/>
      <c r="CQ41" s="8"/>
      <c r="CR41" s="148"/>
      <c r="CS41" s="149"/>
    </row>
    <row r="42" spans="1:97" x14ac:dyDescent="0.25">
      <c r="A42" s="161"/>
      <c r="B42" s="48" t="s">
        <v>248</v>
      </c>
      <c r="C42" s="49" t="s">
        <v>11</v>
      </c>
      <c r="D42" s="10"/>
      <c r="E42" s="10"/>
      <c r="F42" s="10"/>
      <c r="G42" s="10">
        <f>G41</f>
        <v>16.510000000000002</v>
      </c>
      <c r="H42" s="10"/>
      <c r="I42" s="10"/>
      <c r="J42" s="10"/>
      <c r="K42" s="10"/>
      <c r="L42" s="10">
        <f>L41</f>
        <v>15.1</v>
      </c>
      <c r="M42" s="10"/>
      <c r="N42" s="10"/>
      <c r="O42" s="10"/>
      <c r="P42" s="10"/>
      <c r="Q42" s="10">
        <f>Q41</f>
        <v>15.05</v>
      </c>
      <c r="R42" s="10"/>
      <c r="S42" s="10"/>
      <c r="T42" s="10"/>
      <c r="U42" s="10"/>
      <c r="V42" s="10">
        <f>V41</f>
        <v>16.52</v>
      </c>
      <c r="W42" s="10"/>
      <c r="X42" s="10"/>
      <c r="Y42" s="10"/>
      <c r="Z42" s="10"/>
      <c r="AA42" s="55"/>
      <c r="AB42" s="10"/>
      <c r="AC42" s="10"/>
      <c r="AD42" s="55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57">
        <f t="shared" si="10"/>
        <v>63.179999999999993</v>
      </c>
      <c r="CL42" s="94"/>
      <c r="CM42" s="8"/>
      <c r="CN42" s="8"/>
      <c r="CO42" s="8"/>
      <c r="CP42" s="8"/>
      <c r="CQ42" s="94" t="s">
        <v>292</v>
      </c>
      <c r="CR42" s="148"/>
      <c r="CS42" s="149"/>
    </row>
    <row r="43" spans="1:97" ht="60" x14ac:dyDescent="0.25">
      <c r="A43" s="58" t="s">
        <v>37</v>
      </c>
      <c r="B43" s="137" t="s">
        <v>251</v>
      </c>
      <c r="C43" s="64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6"/>
      <c r="AB43" s="62"/>
      <c r="AC43" s="62"/>
      <c r="AD43" s="66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2"/>
      <c r="CC43" s="62"/>
      <c r="CD43" s="62"/>
      <c r="CE43" s="62"/>
      <c r="CF43" s="62"/>
      <c r="CG43" s="62"/>
      <c r="CH43" s="62"/>
      <c r="CI43" s="62"/>
      <c r="CJ43" s="62"/>
      <c r="CK43" s="61"/>
      <c r="CL43" s="94"/>
      <c r="CM43" s="8"/>
      <c r="CN43" s="8"/>
      <c r="CO43" s="8"/>
      <c r="CP43" s="8"/>
      <c r="CQ43" s="8"/>
      <c r="CR43" s="148"/>
      <c r="CS43" s="149"/>
    </row>
    <row r="44" spans="1:97" x14ac:dyDescent="0.25">
      <c r="A44" s="161" t="s">
        <v>208</v>
      </c>
      <c r="B44" s="48" t="s">
        <v>165</v>
      </c>
      <c r="C44" s="49" t="s">
        <v>11</v>
      </c>
      <c r="D44" s="10"/>
      <c r="E44" s="10"/>
      <c r="F44" s="10">
        <v>8.24</v>
      </c>
      <c r="G44" s="10"/>
      <c r="H44" s="10"/>
      <c r="I44" s="10"/>
      <c r="J44" s="10"/>
      <c r="K44" s="10">
        <v>6.39</v>
      </c>
      <c r="L44" s="10"/>
      <c r="M44" s="10"/>
      <c r="N44" s="10"/>
      <c r="O44" s="10"/>
      <c r="P44" s="10">
        <v>6.48</v>
      </c>
      <c r="Q44" s="10"/>
      <c r="R44" s="10"/>
      <c r="S44" s="10"/>
      <c r="T44" s="10"/>
      <c r="U44" s="10">
        <v>7.77</v>
      </c>
      <c r="V44" s="10"/>
      <c r="W44" s="10"/>
      <c r="X44" s="10"/>
      <c r="Y44" s="10"/>
      <c r="Z44" s="10"/>
      <c r="AA44" s="55"/>
      <c r="AB44" s="10"/>
      <c r="AC44" s="10"/>
      <c r="AD44" s="55"/>
      <c r="AE44" s="10"/>
      <c r="AF44" s="10"/>
      <c r="AG44" s="10"/>
      <c r="AH44" s="10"/>
      <c r="AI44" s="10"/>
      <c r="AJ44" s="10"/>
      <c r="AK44" s="10"/>
      <c r="AL44" s="10">
        <v>6.67</v>
      </c>
      <c r="AM44" s="10"/>
      <c r="AN44" s="10"/>
      <c r="AO44" s="10"/>
      <c r="AP44" s="10"/>
      <c r="AQ44" s="10">
        <v>10.45</v>
      </c>
      <c r="AR44" s="10"/>
      <c r="AS44" s="10"/>
      <c r="AT44" s="10"/>
      <c r="AU44" s="10">
        <f>6.14</f>
        <v>6.14</v>
      </c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>
        <v>6.73</v>
      </c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57">
        <f t="shared" ref="CK44:CK49" si="15">SUM(D44:CJ44)</f>
        <v>58.870000000000005</v>
      </c>
      <c r="CL44" s="94"/>
      <c r="CM44" s="8"/>
      <c r="CN44" s="8"/>
      <c r="CO44" s="8"/>
      <c r="CP44" s="8"/>
      <c r="CQ44" s="8"/>
      <c r="CR44" s="148"/>
      <c r="CS44" s="149"/>
    </row>
    <row r="45" spans="1:97" x14ac:dyDescent="0.25">
      <c r="A45" s="161"/>
      <c r="B45" s="107" t="s">
        <v>169</v>
      </c>
      <c r="C45" s="49" t="s">
        <v>11</v>
      </c>
      <c r="D45" s="10"/>
      <c r="E45" s="10"/>
      <c r="F45" s="10">
        <f>F44</f>
        <v>8.24</v>
      </c>
      <c r="G45" s="10"/>
      <c r="H45" s="10"/>
      <c r="I45" s="10"/>
      <c r="J45" s="10"/>
      <c r="K45" s="10">
        <f>K44</f>
        <v>6.39</v>
      </c>
      <c r="L45" s="10"/>
      <c r="M45" s="10"/>
      <c r="N45" s="10"/>
      <c r="O45" s="10"/>
      <c r="P45" s="10">
        <f>P44</f>
        <v>6.48</v>
      </c>
      <c r="Q45" s="10"/>
      <c r="R45" s="10"/>
      <c r="S45" s="10"/>
      <c r="T45" s="10"/>
      <c r="U45" s="10">
        <f>U44</f>
        <v>7.77</v>
      </c>
      <c r="V45" s="10"/>
      <c r="W45" s="10"/>
      <c r="X45" s="10"/>
      <c r="Y45" s="10"/>
      <c r="Z45" s="10"/>
      <c r="AA45" s="55"/>
      <c r="AB45" s="10"/>
      <c r="AC45" s="10"/>
      <c r="AD45" s="55"/>
      <c r="AE45" s="10"/>
      <c r="AF45" s="10"/>
      <c r="AG45" s="10"/>
      <c r="AH45" s="10"/>
      <c r="AI45" s="10"/>
      <c r="AJ45" s="10"/>
      <c r="AK45" s="10"/>
      <c r="AL45" s="10">
        <f>AL44</f>
        <v>6.67</v>
      </c>
      <c r="AM45" s="10"/>
      <c r="AN45" s="10"/>
      <c r="AO45" s="10"/>
      <c r="AP45" s="10"/>
      <c r="AQ45" s="10">
        <f>AQ44</f>
        <v>10.45</v>
      </c>
      <c r="AR45" s="10"/>
      <c r="AS45" s="10"/>
      <c r="AT45" s="10"/>
      <c r="AU45" s="10">
        <f>AU44</f>
        <v>6.14</v>
      </c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>
        <f>BH44</f>
        <v>6.73</v>
      </c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57">
        <f t="shared" si="15"/>
        <v>58.870000000000005</v>
      </c>
      <c r="CL45" s="94"/>
      <c r="CM45" s="8"/>
      <c r="CN45" s="8"/>
      <c r="CO45" s="8"/>
      <c r="CP45" s="8"/>
      <c r="CQ45" s="8"/>
      <c r="CR45" s="148"/>
      <c r="CS45" s="149"/>
    </row>
    <row r="46" spans="1:97" ht="30" x14ac:dyDescent="0.25">
      <c r="A46" s="161"/>
      <c r="B46" s="48" t="s">
        <v>211</v>
      </c>
      <c r="C46" s="49" t="s">
        <v>11</v>
      </c>
      <c r="D46" s="10"/>
      <c r="E46" s="10"/>
      <c r="F46" s="10">
        <f>F45</f>
        <v>8.24</v>
      </c>
      <c r="G46" s="10"/>
      <c r="H46" s="10"/>
      <c r="I46" s="10"/>
      <c r="J46" s="10"/>
      <c r="K46" s="10">
        <f>K45</f>
        <v>6.39</v>
      </c>
      <c r="L46" s="10"/>
      <c r="M46" s="10"/>
      <c r="N46" s="10"/>
      <c r="O46" s="10"/>
      <c r="P46" s="10">
        <f>P45</f>
        <v>6.48</v>
      </c>
      <c r="Q46" s="10"/>
      <c r="R46" s="10"/>
      <c r="S46" s="10"/>
      <c r="T46" s="10"/>
      <c r="U46" s="10">
        <f>U45</f>
        <v>7.77</v>
      </c>
      <c r="V46" s="10"/>
      <c r="W46" s="10"/>
      <c r="X46" s="10"/>
      <c r="Y46" s="10"/>
      <c r="Z46" s="10"/>
      <c r="AA46" s="55"/>
      <c r="AB46" s="10"/>
      <c r="AC46" s="10"/>
      <c r="AD46" s="55"/>
      <c r="AE46" s="10"/>
      <c r="AF46" s="10"/>
      <c r="AG46" s="10"/>
      <c r="AH46" s="10"/>
      <c r="AI46" s="10"/>
      <c r="AJ46" s="10"/>
      <c r="AK46" s="10"/>
      <c r="AL46" s="10">
        <f>AL45</f>
        <v>6.67</v>
      </c>
      <c r="AM46" s="10"/>
      <c r="AN46" s="10"/>
      <c r="AO46" s="10"/>
      <c r="AP46" s="10"/>
      <c r="AQ46" s="10">
        <f>AQ45</f>
        <v>10.45</v>
      </c>
      <c r="AR46" s="10"/>
      <c r="AS46" s="10"/>
      <c r="AT46" s="10"/>
      <c r="AU46" s="10">
        <f>AU45</f>
        <v>6.14</v>
      </c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>
        <f>BH45</f>
        <v>6.73</v>
      </c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57">
        <f t="shared" si="15"/>
        <v>58.870000000000005</v>
      </c>
      <c r="CL46" s="94"/>
      <c r="CM46" s="8"/>
      <c r="CN46" s="8"/>
      <c r="CO46" s="8"/>
      <c r="CP46" s="8"/>
      <c r="CQ46" s="8"/>
      <c r="CR46" s="148"/>
      <c r="CS46" s="149"/>
    </row>
    <row r="47" spans="1:97" ht="45" x14ac:dyDescent="0.25">
      <c r="A47" s="161"/>
      <c r="B47" s="48" t="s">
        <v>253</v>
      </c>
      <c r="C47" s="49" t="s">
        <v>11</v>
      </c>
      <c r="D47" s="10"/>
      <c r="E47" s="10"/>
      <c r="F47" s="10">
        <f>F46</f>
        <v>8.24</v>
      </c>
      <c r="G47" s="10"/>
      <c r="H47" s="10"/>
      <c r="I47" s="10"/>
      <c r="J47" s="10"/>
      <c r="K47" s="10">
        <f>K46</f>
        <v>6.39</v>
      </c>
      <c r="L47" s="10"/>
      <c r="M47" s="10"/>
      <c r="N47" s="10"/>
      <c r="O47" s="10"/>
      <c r="P47" s="10">
        <f>P46</f>
        <v>6.48</v>
      </c>
      <c r="Q47" s="10"/>
      <c r="R47" s="10"/>
      <c r="S47" s="10"/>
      <c r="T47" s="10"/>
      <c r="U47" s="10">
        <f>U46</f>
        <v>7.77</v>
      </c>
      <c r="V47" s="10"/>
      <c r="W47" s="10"/>
      <c r="X47" s="10"/>
      <c r="Y47" s="10"/>
      <c r="Z47" s="10"/>
      <c r="AA47" s="55"/>
      <c r="AB47" s="10"/>
      <c r="AC47" s="10"/>
      <c r="AD47" s="55"/>
      <c r="AE47" s="10"/>
      <c r="AF47" s="10"/>
      <c r="AG47" s="10"/>
      <c r="AH47" s="10"/>
      <c r="AI47" s="10"/>
      <c r="AJ47" s="10"/>
      <c r="AK47" s="10"/>
      <c r="AL47" s="10">
        <f>AL46</f>
        <v>6.67</v>
      </c>
      <c r="AM47" s="10"/>
      <c r="AN47" s="10"/>
      <c r="AO47" s="10"/>
      <c r="AP47" s="10"/>
      <c r="AQ47" s="10"/>
      <c r="AR47" s="10"/>
      <c r="AS47" s="10"/>
      <c r="AT47" s="10"/>
      <c r="AU47" s="10">
        <f>AU46</f>
        <v>6.14</v>
      </c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>
        <f>BH46</f>
        <v>6.73</v>
      </c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57">
        <f t="shared" si="15"/>
        <v>48.42</v>
      </c>
      <c r="CL47" s="94"/>
      <c r="CM47" s="8"/>
      <c r="CN47" s="8"/>
      <c r="CO47" s="8"/>
      <c r="CP47" s="8"/>
      <c r="CQ47" s="8"/>
      <c r="CR47" s="148"/>
      <c r="CS47" s="149"/>
    </row>
    <row r="48" spans="1:97" ht="45" x14ac:dyDescent="0.25">
      <c r="A48" s="161"/>
      <c r="B48" s="48" t="s">
        <v>252</v>
      </c>
      <c r="C48" s="49" t="s">
        <v>11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55"/>
      <c r="AB48" s="10"/>
      <c r="AC48" s="10"/>
      <c r="AD48" s="55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>
        <f>AQ46</f>
        <v>10.45</v>
      </c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57">
        <f t="shared" si="15"/>
        <v>10.45</v>
      </c>
      <c r="CL48" s="94"/>
      <c r="CM48" s="8"/>
      <c r="CN48" s="8"/>
      <c r="CO48" s="8"/>
      <c r="CP48" s="8"/>
      <c r="CQ48" s="8"/>
      <c r="CR48" s="148"/>
      <c r="CS48" s="149"/>
    </row>
    <row r="49" spans="1:97" ht="30" x14ac:dyDescent="0.25">
      <c r="A49" s="161"/>
      <c r="B49" s="48" t="s">
        <v>175</v>
      </c>
      <c r="C49" s="49" t="s">
        <v>11</v>
      </c>
      <c r="D49" s="10"/>
      <c r="E49" s="10"/>
      <c r="F49" s="10">
        <f>F47</f>
        <v>8.24</v>
      </c>
      <c r="G49" s="10"/>
      <c r="H49" s="10"/>
      <c r="I49" s="10"/>
      <c r="J49" s="10"/>
      <c r="K49" s="10">
        <f>K47</f>
        <v>6.39</v>
      </c>
      <c r="L49" s="10"/>
      <c r="M49" s="10"/>
      <c r="N49" s="10"/>
      <c r="O49" s="10"/>
      <c r="P49" s="10">
        <f>P47</f>
        <v>6.48</v>
      </c>
      <c r="Q49" s="10"/>
      <c r="R49" s="10"/>
      <c r="S49" s="10"/>
      <c r="T49" s="10"/>
      <c r="U49" s="10">
        <f>U47</f>
        <v>7.77</v>
      </c>
      <c r="V49" s="10"/>
      <c r="W49" s="10"/>
      <c r="X49" s="10"/>
      <c r="Y49" s="10"/>
      <c r="Z49" s="10"/>
      <c r="AA49" s="55"/>
      <c r="AB49" s="10"/>
      <c r="AC49" s="10"/>
      <c r="AD49" s="55"/>
      <c r="AE49" s="10"/>
      <c r="AF49" s="10"/>
      <c r="AG49" s="10"/>
      <c r="AH49" s="10"/>
      <c r="AI49" s="10"/>
      <c r="AJ49" s="10"/>
      <c r="AK49" s="10"/>
      <c r="AL49" s="10">
        <f>AL47</f>
        <v>6.67</v>
      </c>
      <c r="AM49" s="10"/>
      <c r="AN49" s="10"/>
      <c r="AO49" s="10"/>
      <c r="AP49" s="10"/>
      <c r="AQ49" s="10">
        <f>AQ48</f>
        <v>10.45</v>
      </c>
      <c r="AR49" s="10"/>
      <c r="AS49" s="10"/>
      <c r="AT49" s="10"/>
      <c r="AU49" s="10">
        <f>AU47</f>
        <v>6.14</v>
      </c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>
        <f>BH47</f>
        <v>6.73</v>
      </c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57">
        <f t="shared" si="15"/>
        <v>58.870000000000005</v>
      </c>
      <c r="CL49" s="94"/>
      <c r="CM49" s="8"/>
      <c r="CN49" s="8"/>
      <c r="CO49" s="8"/>
      <c r="CP49" s="8"/>
      <c r="CQ49" s="8"/>
      <c r="CR49" s="148"/>
      <c r="CS49" s="149"/>
    </row>
    <row r="50" spans="1:97" x14ac:dyDescent="0.25">
      <c r="A50" s="161"/>
      <c r="B50" s="48" t="s">
        <v>248</v>
      </c>
      <c r="C50" s="49" t="s">
        <v>11</v>
      </c>
      <c r="D50" s="10"/>
      <c r="E50" s="10"/>
      <c r="F50" s="10">
        <f>F49</f>
        <v>8.24</v>
      </c>
      <c r="G50" s="10"/>
      <c r="H50" s="10"/>
      <c r="I50" s="10"/>
      <c r="J50" s="10"/>
      <c r="K50" s="10">
        <f>K49</f>
        <v>6.39</v>
      </c>
      <c r="L50" s="10"/>
      <c r="M50" s="10"/>
      <c r="N50" s="10"/>
      <c r="O50" s="10"/>
      <c r="P50" s="10">
        <f>P49</f>
        <v>6.48</v>
      </c>
      <c r="Q50" s="10"/>
      <c r="R50" s="10"/>
      <c r="S50" s="10"/>
      <c r="T50" s="10"/>
      <c r="U50" s="10">
        <f>U49</f>
        <v>7.77</v>
      </c>
      <c r="V50" s="10"/>
      <c r="W50" s="10"/>
      <c r="X50" s="10"/>
      <c r="Y50" s="10"/>
      <c r="Z50" s="10"/>
      <c r="AA50" s="55"/>
      <c r="AB50" s="10"/>
      <c r="AC50" s="10"/>
      <c r="AD50" s="55"/>
      <c r="AE50" s="10"/>
      <c r="AF50" s="10"/>
      <c r="AG50" s="10"/>
      <c r="AH50" s="10"/>
      <c r="AI50" s="10"/>
      <c r="AJ50" s="10"/>
      <c r="AK50" s="10"/>
      <c r="AL50" s="10">
        <f>AL49</f>
        <v>6.67</v>
      </c>
      <c r="AM50" s="10"/>
      <c r="AN50" s="10"/>
      <c r="AO50" s="10"/>
      <c r="AP50" s="10"/>
      <c r="AQ50" s="10">
        <f>AQ49</f>
        <v>10.45</v>
      </c>
      <c r="AR50" s="10"/>
      <c r="AS50" s="10"/>
      <c r="AT50" s="10"/>
      <c r="AU50" s="10">
        <f>AU49</f>
        <v>6.14</v>
      </c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>
        <f>BH49</f>
        <v>6.73</v>
      </c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57">
        <f t="shared" ref="CK50" si="16">SUM(D50:CJ50)</f>
        <v>58.870000000000005</v>
      </c>
      <c r="CL50" s="94"/>
      <c r="CM50" s="8"/>
      <c r="CN50" s="8"/>
      <c r="CO50" s="8"/>
      <c r="CP50" s="8"/>
      <c r="CQ50" s="94" t="s">
        <v>292</v>
      </c>
      <c r="CR50" s="148"/>
      <c r="CS50" s="149"/>
    </row>
    <row r="51" spans="1:97" ht="75" x14ac:dyDescent="0.25">
      <c r="A51" s="58" t="s">
        <v>38</v>
      </c>
      <c r="B51" s="59" t="s">
        <v>217</v>
      </c>
      <c r="C51" s="64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6"/>
      <c r="AB51" s="62"/>
      <c r="AC51" s="62"/>
      <c r="AD51" s="66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1"/>
      <c r="CL51" s="74"/>
      <c r="CM51" s="75"/>
      <c r="CN51" s="75"/>
      <c r="CO51" s="75"/>
      <c r="CP51" s="75"/>
      <c r="CQ51" s="75"/>
      <c r="CR51" s="152"/>
      <c r="CS51" s="153"/>
    </row>
    <row r="52" spans="1:97" ht="15.75" customHeight="1" x14ac:dyDescent="0.25">
      <c r="A52" s="161" t="s">
        <v>208</v>
      </c>
      <c r="B52" s="48" t="s">
        <v>165</v>
      </c>
      <c r="C52" s="49" t="s">
        <v>11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55"/>
      <c r="AB52" s="10"/>
      <c r="AC52" s="10"/>
      <c r="AD52" s="55"/>
      <c r="AE52" s="10"/>
      <c r="AF52" s="10"/>
      <c r="AG52" s="10"/>
      <c r="AH52" s="10"/>
      <c r="AI52" s="10"/>
      <c r="AJ52" s="10"/>
      <c r="AK52" s="10"/>
      <c r="AL52" s="10"/>
      <c r="AM52" s="10">
        <v>6.67</v>
      </c>
      <c r="AN52" s="10"/>
      <c r="AO52" s="10"/>
      <c r="AP52" s="10"/>
      <c r="AQ52" s="10"/>
      <c r="AR52" s="10"/>
      <c r="AS52" s="10">
        <v>7.37</v>
      </c>
      <c r="AT52" s="10">
        <v>8.49</v>
      </c>
      <c r="AU52" s="10"/>
      <c r="AV52" s="10">
        <v>7.52</v>
      </c>
      <c r="AW52" s="10">
        <v>12.25</v>
      </c>
      <c r="AX52" s="10">
        <v>8.1300000000000008</v>
      </c>
      <c r="AY52" s="10">
        <v>13.02</v>
      </c>
      <c r="AZ52" s="10">
        <v>24.68</v>
      </c>
      <c r="BA52" s="10"/>
      <c r="BB52" s="10"/>
      <c r="BC52" s="10"/>
      <c r="BD52" s="10"/>
      <c r="BE52" s="10">
        <v>10.1</v>
      </c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57">
        <f>SUM(D52:CJ52)</f>
        <v>98.22999999999999</v>
      </c>
      <c r="CL52" s="94"/>
      <c r="CM52" s="8"/>
      <c r="CN52" s="8"/>
      <c r="CO52" s="8"/>
      <c r="CP52" s="8"/>
      <c r="CQ52" s="8"/>
      <c r="CR52" s="148"/>
      <c r="CS52" s="149"/>
    </row>
    <row r="53" spans="1:97" x14ac:dyDescent="0.25">
      <c r="A53" s="161"/>
      <c r="B53" s="142" t="s">
        <v>275</v>
      </c>
      <c r="C53" s="49" t="s">
        <v>11</v>
      </c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55"/>
      <c r="AB53" s="10"/>
      <c r="AC53" s="10"/>
      <c r="AD53" s="55"/>
      <c r="AE53" s="10"/>
      <c r="AF53" s="10"/>
      <c r="AG53" s="10"/>
      <c r="AH53" s="10"/>
      <c r="AI53" s="10"/>
      <c r="AJ53" s="10"/>
      <c r="AK53" s="10"/>
      <c r="AL53" s="10"/>
      <c r="AM53" s="10">
        <f t="shared" ref="AM53:AM58" si="17">AM52</f>
        <v>6.67</v>
      </c>
      <c r="AN53" s="10"/>
      <c r="AO53" s="10"/>
      <c r="AP53" s="10"/>
      <c r="AQ53" s="10"/>
      <c r="AR53" s="10"/>
      <c r="AS53" s="10">
        <f t="shared" ref="AS53:AT58" si="18">AS52</f>
        <v>7.37</v>
      </c>
      <c r="AT53" s="10">
        <f t="shared" si="18"/>
        <v>8.49</v>
      </c>
      <c r="AU53" s="10"/>
      <c r="AV53" s="10">
        <f t="shared" ref="AV53:AZ58" si="19">AV52</f>
        <v>7.52</v>
      </c>
      <c r="AW53" s="10">
        <f t="shared" si="19"/>
        <v>12.25</v>
      </c>
      <c r="AX53" s="10">
        <f t="shared" si="19"/>
        <v>8.1300000000000008</v>
      </c>
      <c r="AY53" s="10">
        <f t="shared" si="19"/>
        <v>13.02</v>
      </c>
      <c r="AZ53" s="10">
        <f t="shared" si="19"/>
        <v>24.68</v>
      </c>
      <c r="BA53" s="10"/>
      <c r="BB53" s="10"/>
      <c r="BC53" s="10"/>
      <c r="BD53" s="10"/>
      <c r="BE53" s="10">
        <f t="shared" ref="BE53:BE58" si="20">BE52</f>
        <v>10.1</v>
      </c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57">
        <f t="shared" ref="CK53:CK58" si="21">SUM(D53:CJ53)</f>
        <v>98.22999999999999</v>
      </c>
      <c r="CL53" s="94"/>
      <c r="CM53" s="8"/>
      <c r="CN53" s="8"/>
      <c r="CO53" s="8"/>
      <c r="CP53" s="8"/>
      <c r="CQ53" s="8"/>
      <c r="CR53" s="148"/>
      <c r="CS53" s="149"/>
    </row>
    <row r="54" spans="1:97" x14ac:dyDescent="0.25">
      <c r="A54" s="161"/>
      <c r="B54" s="110" t="s">
        <v>274</v>
      </c>
      <c r="C54" s="49" t="s">
        <v>11</v>
      </c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55"/>
      <c r="AB54" s="10"/>
      <c r="AC54" s="10"/>
      <c r="AD54" s="55"/>
      <c r="AE54" s="10"/>
      <c r="AF54" s="10"/>
      <c r="AG54" s="10"/>
      <c r="AH54" s="10"/>
      <c r="AI54" s="10"/>
      <c r="AJ54" s="10"/>
      <c r="AK54" s="10"/>
      <c r="AL54" s="10"/>
      <c r="AM54" s="10">
        <f t="shared" si="17"/>
        <v>6.67</v>
      </c>
      <c r="AN54" s="10"/>
      <c r="AO54" s="10"/>
      <c r="AP54" s="10"/>
      <c r="AQ54" s="10"/>
      <c r="AR54" s="10"/>
      <c r="AS54" s="10">
        <f t="shared" si="18"/>
        <v>7.37</v>
      </c>
      <c r="AT54" s="10">
        <f t="shared" si="18"/>
        <v>8.49</v>
      </c>
      <c r="AU54" s="10"/>
      <c r="AV54" s="10">
        <f t="shared" si="19"/>
        <v>7.52</v>
      </c>
      <c r="AW54" s="10">
        <f t="shared" si="19"/>
        <v>12.25</v>
      </c>
      <c r="AX54" s="10">
        <f t="shared" si="19"/>
        <v>8.1300000000000008</v>
      </c>
      <c r="AY54" s="10">
        <f t="shared" si="19"/>
        <v>13.02</v>
      </c>
      <c r="AZ54" s="10">
        <f t="shared" si="19"/>
        <v>24.68</v>
      </c>
      <c r="BA54" s="10"/>
      <c r="BB54" s="10"/>
      <c r="BC54" s="10"/>
      <c r="BD54" s="10"/>
      <c r="BE54" s="10">
        <f t="shared" si="20"/>
        <v>10.1</v>
      </c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57">
        <f t="shared" si="21"/>
        <v>98.22999999999999</v>
      </c>
      <c r="CL54" s="94"/>
      <c r="CM54" s="8"/>
      <c r="CN54" s="8"/>
      <c r="CO54" s="8"/>
      <c r="CP54" s="8"/>
      <c r="CQ54" s="8"/>
      <c r="CR54" s="148"/>
      <c r="CS54" s="149"/>
    </row>
    <row r="55" spans="1:97" x14ac:dyDescent="0.25">
      <c r="A55" s="161"/>
      <c r="B55" s="48" t="s">
        <v>165</v>
      </c>
      <c r="C55" s="49" t="s">
        <v>11</v>
      </c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55"/>
      <c r="AB55" s="10"/>
      <c r="AC55" s="10"/>
      <c r="AD55" s="55"/>
      <c r="AE55" s="10"/>
      <c r="AF55" s="10"/>
      <c r="AG55" s="10"/>
      <c r="AH55" s="10"/>
      <c r="AI55" s="10"/>
      <c r="AJ55" s="10"/>
      <c r="AK55" s="10"/>
      <c r="AL55" s="10"/>
      <c r="AM55" s="10">
        <f t="shared" si="17"/>
        <v>6.67</v>
      </c>
      <c r="AN55" s="10"/>
      <c r="AO55" s="10"/>
      <c r="AP55" s="10"/>
      <c r="AQ55" s="10"/>
      <c r="AR55" s="10"/>
      <c r="AS55" s="10">
        <f t="shared" si="18"/>
        <v>7.37</v>
      </c>
      <c r="AT55" s="10">
        <f t="shared" si="18"/>
        <v>8.49</v>
      </c>
      <c r="AU55" s="10"/>
      <c r="AV55" s="10">
        <f t="shared" si="19"/>
        <v>7.52</v>
      </c>
      <c r="AW55" s="10">
        <f t="shared" si="19"/>
        <v>12.25</v>
      </c>
      <c r="AX55" s="10">
        <f t="shared" si="19"/>
        <v>8.1300000000000008</v>
      </c>
      <c r="AY55" s="10">
        <f t="shared" si="19"/>
        <v>13.02</v>
      </c>
      <c r="AZ55" s="10">
        <f t="shared" si="19"/>
        <v>24.68</v>
      </c>
      <c r="BA55" s="10"/>
      <c r="BB55" s="10"/>
      <c r="BC55" s="10"/>
      <c r="BD55" s="10"/>
      <c r="BE55" s="10">
        <f t="shared" si="20"/>
        <v>10.1</v>
      </c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57">
        <f>SUM(D55:CJ55)</f>
        <v>98.22999999999999</v>
      </c>
      <c r="CL55" s="94"/>
      <c r="CM55" s="8"/>
      <c r="CN55" s="8"/>
      <c r="CO55" s="8"/>
      <c r="CP55" s="8"/>
      <c r="CQ55" s="8"/>
      <c r="CR55" s="148"/>
      <c r="CS55" s="149"/>
    </row>
    <row r="56" spans="1:97" ht="45" x14ac:dyDescent="0.25">
      <c r="A56" s="161"/>
      <c r="B56" s="48" t="s">
        <v>250</v>
      </c>
      <c r="C56" s="49" t="s">
        <v>11</v>
      </c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55"/>
      <c r="AB56" s="10"/>
      <c r="AC56" s="10"/>
      <c r="AD56" s="55"/>
      <c r="AE56" s="10"/>
      <c r="AF56" s="10"/>
      <c r="AG56" s="10"/>
      <c r="AH56" s="10"/>
      <c r="AI56" s="10"/>
      <c r="AJ56" s="10"/>
      <c r="AK56" s="10"/>
      <c r="AL56" s="10"/>
      <c r="AM56" s="10">
        <f t="shared" si="17"/>
        <v>6.67</v>
      </c>
      <c r="AN56" s="10"/>
      <c r="AO56" s="10"/>
      <c r="AP56" s="10"/>
      <c r="AQ56" s="10"/>
      <c r="AR56" s="10"/>
      <c r="AS56" s="10">
        <f t="shared" si="18"/>
        <v>7.37</v>
      </c>
      <c r="AT56" s="10">
        <f t="shared" si="18"/>
        <v>8.49</v>
      </c>
      <c r="AU56" s="10"/>
      <c r="AV56" s="10">
        <f t="shared" si="19"/>
        <v>7.52</v>
      </c>
      <c r="AW56" s="10">
        <f t="shared" si="19"/>
        <v>12.25</v>
      </c>
      <c r="AX56" s="10">
        <f t="shared" si="19"/>
        <v>8.1300000000000008</v>
      </c>
      <c r="AY56" s="10">
        <f t="shared" si="19"/>
        <v>13.02</v>
      </c>
      <c r="AZ56" s="10">
        <f t="shared" si="19"/>
        <v>24.68</v>
      </c>
      <c r="BA56" s="10"/>
      <c r="BB56" s="10"/>
      <c r="BC56" s="10"/>
      <c r="BD56" s="10"/>
      <c r="BE56" s="10">
        <f t="shared" si="20"/>
        <v>10.1</v>
      </c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57">
        <f t="shared" si="21"/>
        <v>98.22999999999999</v>
      </c>
      <c r="CL56" s="94"/>
      <c r="CM56" s="8"/>
      <c r="CN56" s="8"/>
      <c r="CO56" s="8"/>
      <c r="CP56" s="8"/>
      <c r="CQ56" s="8"/>
      <c r="CR56" s="148"/>
      <c r="CS56" s="149"/>
    </row>
    <row r="57" spans="1:97" ht="30" x14ac:dyDescent="0.25">
      <c r="A57" s="161"/>
      <c r="B57" s="48" t="s">
        <v>175</v>
      </c>
      <c r="C57" s="49" t="s">
        <v>11</v>
      </c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55"/>
      <c r="AB57" s="10"/>
      <c r="AC57" s="10"/>
      <c r="AD57" s="55"/>
      <c r="AE57" s="10"/>
      <c r="AF57" s="10"/>
      <c r="AG57" s="10"/>
      <c r="AH57" s="10"/>
      <c r="AI57" s="10"/>
      <c r="AJ57" s="10"/>
      <c r="AK57" s="10"/>
      <c r="AL57" s="10"/>
      <c r="AM57" s="10">
        <f t="shared" si="17"/>
        <v>6.67</v>
      </c>
      <c r="AN57" s="10"/>
      <c r="AO57" s="10"/>
      <c r="AP57" s="10"/>
      <c r="AQ57" s="10"/>
      <c r="AR57" s="10"/>
      <c r="AS57" s="10">
        <f t="shared" si="18"/>
        <v>7.37</v>
      </c>
      <c r="AT57" s="10">
        <f t="shared" si="18"/>
        <v>8.49</v>
      </c>
      <c r="AU57" s="10"/>
      <c r="AV57" s="10">
        <f t="shared" si="19"/>
        <v>7.52</v>
      </c>
      <c r="AW57" s="10">
        <f t="shared" si="19"/>
        <v>12.25</v>
      </c>
      <c r="AX57" s="10">
        <f t="shared" si="19"/>
        <v>8.1300000000000008</v>
      </c>
      <c r="AY57" s="10">
        <f t="shared" si="19"/>
        <v>13.02</v>
      </c>
      <c r="AZ57" s="10">
        <f t="shared" si="19"/>
        <v>24.68</v>
      </c>
      <c r="BA57" s="10"/>
      <c r="BB57" s="10"/>
      <c r="BC57" s="10"/>
      <c r="BD57" s="10"/>
      <c r="BE57" s="10">
        <f t="shared" si="20"/>
        <v>10.1</v>
      </c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57">
        <f t="shared" si="21"/>
        <v>98.22999999999999</v>
      </c>
      <c r="CL57" s="94"/>
      <c r="CM57" s="8"/>
      <c r="CN57" s="8"/>
      <c r="CO57" s="8"/>
      <c r="CP57" s="8"/>
      <c r="CQ57" s="8"/>
      <c r="CR57" s="148"/>
      <c r="CS57" s="149"/>
    </row>
    <row r="58" spans="1:97" x14ac:dyDescent="0.25">
      <c r="A58" s="161"/>
      <c r="B58" s="48" t="s">
        <v>249</v>
      </c>
      <c r="C58" s="49" t="s">
        <v>11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55"/>
      <c r="AB58" s="10"/>
      <c r="AC58" s="10"/>
      <c r="AD58" s="55"/>
      <c r="AE58" s="10"/>
      <c r="AF58" s="10"/>
      <c r="AG58" s="10"/>
      <c r="AH58" s="10"/>
      <c r="AI58" s="10"/>
      <c r="AJ58" s="10"/>
      <c r="AK58" s="10"/>
      <c r="AL58" s="10"/>
      <c r="AM58" s="10">
        <f t="shared" si="17"/>
        <v>6.67</v>
      </c>
      <c r="AN58" s="10"/>
      <c r="AO58" s="10"/>
      <c r="AP58" s="10"/>
      <c r="AQ58" s="10"/>
      <c r="AR58" s="10"/>
      <c r="AS58" s="10">
        <f t="shared" si="18"/>
        <v>7.37</v>
      </c>
      <c r="AT58" s="10">
        <f t="shared" si="18"/>
        <v>8.49</v>
      </c>
      <c r="AU58" s="10"/>
      <c r="AV58" s="10">
        <f t="shared" si="19"/>
        <v>7.52</v>
      </c>
      <c r="AW58" s="10">
        <f t="shared" si="19"/>
        <v>12.25</v>
      </c>
      <c r="AX58" s="10">
        <f t="shared" si="19"/>
        <v>8.1300000000000008</v>
      </c>
      <c r="AY58" s="10">
        <f t="shared" si="19"/>
        <v>13.02</v>
      </c>
      <c r="AZ58" s="10">
        <f t="shared" si="19"/>
        <v>24.68</v>
      </c>
      <c r="BA58" s="10"/>
      <c r="BB58" s="10"/>
      <c r="BC58" s="10"/>
      <c r="BD58" s="10"/>
      <c r="BE58" s="10">
        <f t="shared" si="20"/>
        <v>10.1</v>
      </c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57">
        <f t="shared" si="21"/>
        <v>98.22999999999999</v>
      </c>
      <c r="CL58" s="94"/>
      <c r="CM58" s="8"/>
      <c r="CN58" s="8"/>
      <c r="CO58" s="8"/>
      <c r="CP58" s="8"/>
      <c r="CQ58" s="94" t="s">
        <v>292</v>
      </c>
      <c r="CR58" s="148"/>
      <c r="CS58" s="149"/>
    </row>
    <row r="59" spans="1:97" ht="135" x14ac:dyDescent="0.25">
      <c r="A59" s="58" t="s">
        <v>39</v>
      </c>
      <c r="B59" s="136" t="s">
        <v>296</v>
      </c>
      <c r="C59" s="60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/>
      <c r="BV59" s="62"/>
      <c r="BW59" s="62"/>
      <c r="BX59" s="62"/>
      <c r="BY59" s="62"/>
      <c r="BZ59" s="62"/>
      <c r="CA59" s="62"/>
      <c r="CB59" s="62"/>
      <c r="CC59" s="62"/>
      <c r="CD59" s="62"/>
      <c r="CE59" s="62"/>
      <c r="CF59" s="62"/>
      <c r="CG59" s="62"/>
      <c r="CH59" s="62"/>
      <c r="CI59" s="62"/>
      <c r="CJ59" s="62"/>
      <c r="CK59" s="61"/>
      <c r="CL59" s="94"/>
      <c r="CM59" s="8"/>
      <c r="CN59" s="8"/>
      <c r="CO59" s="8"/>
      <c r="CP59" s="8"/>
      <c r="CQ59" s="8"/>
      <c r="CR59" s="148"/>
      <c r="CS59" s="149"/>
    </row>
    <row r="60" spans="1:97" ht="15.75" customHeight="1" x14ac:dyDescent="0.25">
      <c r="A60" s="161" t="s">
        <v>208</v>
      </c>
      <c r="B60" s="48" t="s">
        <v>171</v>
      </c>
      <c r="C60" s="93" t="s">
        <v>11</v>
      </c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54">
        <v>10.119999999999999</v>
      </c>
      <c r="AF60" s="54">
        <f>6.4</f>
        <v>6.4</v>
      </c>
      <c r="AG60" s="54">
        <v>10.78</v>
      </c>
      <c r="AH60" s="54">
        <f>5.27</f>
        <v>5.27</v>
      </c>
      <c r="AI60" s="54">
        <f>3.58</f>
        <v>3.58</v>
      </c>
      <c r="AJ60" s="54"/>
      <c r="AK60" s="10"/>
      <c r="AL60" s="10"/>
      <c r="AM60" s="10"/>
      <c r="AN60" s="10"/>
      <c r="AO60" s="10"/>
      <c r="AP60" s="54">
        <v>6.35</v>
      </c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>
        <f>2.84</f>
        <v>2.84</v>
      </c>
      <c r="BD60" s="10">
        <f>2.84</f>
        <v>2.84</v>
      </c>
      <c r="BE60" s="10"/>
      <c r="BF60" s="10"/>
      <c r="BG60" s="10"/>
      <c r="BH60" s="10"/>
      <c r="BI60" s="10"/>
      <c r="BJ60" s="10">
        <v>6.41</v>
      </c>
      <c r="BK60" s="10">
        <f>2.84</f>
        <v>2.84</v>
      </c>
      <c r="BL60" s="10"/>
      <c r="BM60" s="10">
        <f>4.16</f>
        <v>4.16</v>
      </c>
      <c r="BN60" s="10"/>
      <c r="BO60" s="10"/>
      <c r="BP60" s="10">
        <v>2.98</v>
      </c>
      <c r="BQ60" s="10"/>
      <c r="BR60" s="10"/>
      <c r="BS60" s="10">
        <v>3.59</v>
      </c>
      <c r="BT60" s="10"/>
      <c r="BU60" s="10"/>
      <c r="BV60" s="10">
        <v>4.01</v>
      </c>
      <c r="BW60" s="10"/>
      <c r="BX60" s="10">
        <v>5.96</v>
      </c>
      <c r="BY60" s="10">
        <v>5.98</v>
      </c>
      <c r="BZ60" s="10">
        <v>6.02</v>
      </c>
      <c r="CA60" s="10">
        <v>2.71</v>
      </c>
      <c r="CB60" s="10">
        <v>2.09</v>
      </c>
      <c r="CC60" s="10"/>
      <c r="CD60" s="10"/>
      <c r="CE60" s="10"/>
      <c r="CF60" s="10"/>
      <c r="CG60" s="10"/>
      <c r="CH60" s="10"/>
      <c r="CI60" s="10"/>
      <c r="CJ60" s="10"/>
      <c r="CK60" s="57">
        <f t="shared" ref="CK60:CK67" si="22">SUM(D60:CJ60)</f>
        <v>94.929999999999993</v>
      </c>
      <c r="CL60" s="94"/>
      <c r="CM60" s="8"/>
      <c r="CN60" s="8"/>
      <c r="CO60" s="8"/>
      <c r="CP60" s="8"/>
      <c r="CQ60" s="8"/>
      <c r="CR60" s="148"/>
      <c r="CS60" s="149"/>
    </row>
    <row r="61" spans="1:97" x14ac:dyDescent="0.25">
      <c r="A61" s="161"/>
      <c r="B61" s="48" t="s">
        <v>172</v>
      </c>
      <c r="C61" s="93" t="s">
        <v>11</v>
      </c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54">
        <f>10.12</f>
        <v>10.119999999999999</v>
      </c>
      <c r="AF61" s="54">
        <f>6.4</f>
        <v>6.4</v>
      </c>
      <c r="AG61" s="54">
        <f>10.78</f>
        <v>10.78</v>
      </c>
      <c r="AH61" s="54">
        <f>5.27</f>
        <v>5.27</v>
      </c>
      <c r="AI61" s="54">
        <f>3.58</f>
        <v>3.58</v>
      </c>
      <c r="AJ61" s="54"/>
      <c r="AK61" s="10"/>
      <c r="AL61" s="10"/>
      <c r="AM61" s="10"/>
      <c r="AN61" s="10"/>
      <c r="AO61" s="10"/>
      <c r="AP61" s="54">
        <f>AP60</f>
        <v>6.35</v>
      </c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>
        <f>BC60</f>
        <v>2.84</v>
      </c>
      <c r="BD61" s="10">
        <f>BD60</f>
        <v>2.84</v>
      </c>
      <c r="BE61" s="10"/>
      <c r="BF61" s="10"/>
      <c r="BG61" s="10"/>
      <c r="BH61" s="10"/>
      <c r="BI61" s="10"/>
      <c r="BJ61" s="10">
        <f>BJ60</f>
        <v>6.41</v>
      </c>
      <c r="BK61" s="10">
        <f>BK60</f>
        <v>2.84</v>
      </c>
      <c r="BL61" s="10"/>
      <c r="BM61" s="10">
        <f>BM60</f>
        <v>4.16</v>
      </c>
      <c r="BN61" s="10"/>
      <c r="BO61" s="10"/>
      <c r="BP61" s="10">
        <f>BP60</f>
        <v>2.98</v>
      </c>
      <c r="BQ61" s="10"/>
      <c r="BR61" s="10"/>
      <c r="BS61" s="10">
        <f>BS60</f>
        <v>3.59</v>
      </c>
      <c r="BT61" s="10"/>
      <c r="BU61" s="10"/>
      <c r="BV61" s="10">
        <f>BV60</f>
        <v>4.01</v>
      </c>
      <c r="BW61" s="10"/>
      <c r="BX61" s="10">
        <f t="shared" ref="BX61:CB62" si="23">BX60</f>
        <v>5.96</v>
      </c>
      <c r="BY61" s="10">
        <f t="shared" si="23"/>
        <v>5.98</v>
      </c>
      <c r="BZ61" s="10">
        <f t="shared" si="23"/>
        <v>6.02</v>
      </c>
      <c r="CA61" s="10">
        <f t="shared" si="23"/>
        <v>2.71</v>
      </c>
      <c r="CB61" s="10">
        <f t="shared" si="23"/>
        <v>2.09</v>
      </c>
      <c r="CC61" s="10"/>
      <c r="CD61" s="10"/>
      <c r="CE61" s="10"/>
      <c r="CF61" s="10"/>
      <c r="CG61" s="10"/>
      <c r="CH61" s="10"/>
      <c r="CI61" s="10"/>
      <c r="CJ61" s="10"/>
      <c r="CK61" s="57">
        <f t="shared" si="22"/>
        <v>94.929999999999993</v>
      </c>
      <c r="CL61" s="94"/>
      <c r="CM61" s="8"/>
      <c r="CN61" s="8"/>
      <c r="CO61" s="8"/>
      <c r="CP61" s="8"/>
      <c r="CQ61" s="8"/>
      <c r="CR61" s="148"/>
      <c r="CS61" s="149"/>
    </row>
    <row r="62" spans="1:97" ht="30" x14ac:dyDescent="0.25">
      <c r="A62" s="161"/>
      <c r="B62" s="48" t="s">
        <v>173</v>
      </c>
      <c r="C62" s="93" t="s">
        <v>11</v>
      </c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54">
        <f>10.12</f>
        <v>10.119999999999999</v>
      </c>
      <c r="AF62" s="54">
        <f>6.4</f>
        <v>6.4</v>
      </c>
      <c r="AG62" s="54">
        <f>10.78</f>
        <v>10.78</v>
      </c>
      <c r="AH62" s="54">
        <f>5.27</f>
        <v>5.27</v>
      </c>
      <c r="AI62" s="54">
        <f>3.58</f>
        <v>3.58</v>
      </c>
      <c r="AJ62" s="54"/>
      <c r="AK62" s="10"/>
      <c r="AL62" s="10"/>
      <c r="AM62" s="10"/>
      <c r="AN62" s="10"/>
      <c r="AO62" s="10"/>
      <c r="AP62" s="54">
        <f>AP61</f>
        <v>6.35</v>
      </c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>
        <f>BC61</f>
        <v>2.84</v>
      </c>
      <c r="BD62" s="10">
        <f>BD61</f>
        <v>2.84</v>
      </c>
      <c r="BE62" s="10"/>
      <c r="BF62" s="10"/>
      <c r="BG62" s="10"/>
      <c r="BH62" s="10"/>
      <c r="BI62" s="10"/>
      <c r="BJ62" s="10">
        <f>BJ61</f>
        <v>6.41</v>
      </c>
      <c r="BK62" s="10">
        <f>BK61</f>
        <v>2.84</v>
      </c>
      <c r="BL62" s="10"/>
      <c r="BM62" s="10">
        <f>BM61</f>
        <v>4.16</v>
      </c>
      <c r="BN62" s="10"/>
      <c r="BO62" s="10"/>
      <c r="BP62" s="10">
        <f>BP61</f>
        <v>2.98</v>
      </c>
      <c r="BQ62" s="10"/>
      <c r="BR62" s="10"/>
      <c r="BS62" s="10">
        <f>BS61</f>
        <v>3.59</v>
      </c>
      <c r="BT62" s="10"/>
      <c r="BU62" s="10"/>
      <c r="BV62" s="10">
        <f>BV61</f>
        <v>4.01</v>
      </c>
      <c r="BW62" s="10"/>
      <c r="BX62" s="10">
        <f t="shared" si="23"/>
        <v>5.96</v>
      </c>
      <c r="BY62" s="10">
        <f t="shared" si="23"/>
        <v>5.98</v>
      </c>
      <c r="BZ62" s="10">
        <f t="shared" si="23"/>
        <v>6.02</v>
      </c>
      <c r="CA62" s="10">
        <f t="shared" si="23"/>
        <v>2.71</v>
      </c>
      <c r="CB62" s="10">
        <f t="shared" si="23"/>
        <v>2.09</v>
      </c>
      <c r="CC62" s="10"/>
      <c r="CD62" s="10"/>
      <c r="CE62" s="10"/>
      <c r="CF62" s="10"/>
      <c r="CG62" s="10"/>
      <c r="CH62" s="10"/>
      <c r="CI62" s="10"/>
      <c r="CJ62" s="10"/>
      <c r="CK62" s="57">
        <f t="shared" si="22"/>
        <v>94.929999999999993</v>
      </c>
      <c r="CL62" s="94"/>
      <c r="CM62" s="8"/>
      <c r="CN62" s="8"/>
      <c r="CO62" s="8"/>
      <c r="CP62" s="8"/>
      <c r="CQ62" s="8"/>
      <c r="CR62" s="148"/>
      <c r="CS62" s="149"/>
    </row>
    <row r="63" spans="1:97" ht="30" x14ac:dyDescent="0.25">
      <c r="A63" s="161"/>
      <c r="B63" s="48" t="s">
        <v>174</v>
      </c>
      <c r="C63" s="93" t="s">
        <v>11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54">
        <f>AE62</f>
        <v>10.119999999999999</v>
      </c>
      <c r="AF63" s="54"/>
      <c r="AG63" s="54">
        <f>10.78</f>
        <v>10.78</v>
      </c>
      <c r="AH63" s="54">
        <f>5.27</f>
        <v>5.27</v>
      </c>
      <c r="AI63" s="54">
        <f>3.58</f>
        <v>3.58</v>
      </c>
      <c r="AJ63" s="54"/>
      <c r="AK63" s="10"/>
      <c r="AL63" s="10"/>
      <c r="AM63" s="10"/>
      <c r="AN63" s="10"/>
      <c r="AO63" s="10"/>
      <c r="AP63" s="54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>
        <f>BJ62</f>
        <v>6.41</v>
      </c>
      <c r="BK63" s="10"/>
      <c r="BL63" s="10"/>
      <c r="BM63" s="10">
        <f>BM62</f>
        <v>4.16</v>
      </c>
      <c r="BN63" s="10"/>
      <c r="BO63" s="10"/>
      <c r="BP63" s="10"/>
      <c r="BQ63" s="10"/>
      <c r="BR63" s="10"/>
      <c r="BS63" s="10"/>
      <c r="BT63" s="10"/>
      <c r="BU63" s="10"/>
      <c r="BV63" s="10">
        <f>BV62</f>
        <v>4.01</v>
      </c>
      <c r="BW63" s="10"/>
      <c r="BX63" s="10"/>
      <c r="BY63" s="10">
        <f>BY62</f>
        <v>5.98</v>
      </c>
      <c r="BZ63" s="10">
        <f>BZ62</f>
        <v>6.02</v>
      </c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57">
        <f t="shared" si="22"/>
        <v>56.329999999999984</v>
      </c>
      <c r="CL63" s="94"/>
      <c r="CM63" s="8"/>
      <c r="CN63" s="8"/>
      <c r="CO63" s="8"/>
      <c r="CP63" s="8"/>
      <c r="CQ63" s="8"/>
      <c r="CR63" s="148"/>
      <c r="CS63" s="149"/>
    </row>
    <row r="64" spans="1:97" ht="45" x14ac:dyDescent="0.25">
      <c r="A64" s="161"/>
      <c r="B64" s="48" t="s">
        <v>270</v>
      </c>
      <c r="C64" s="93" t="s">
        <v>11</v>
      </c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54"/>
      <c r="AF64" s="54">
        <f>AF62</f>
        <v>6.4</v>
      </c>
      <c r="AG64" s="54"/>
      <c r="AH64" s="54"/>
      <c r="AI64" s="54"/>
      <c r="AJ64" s="54"/>
      <c r="AK64" s="10"/>
      <c r="AL64" s="10"/>
      <c r="AM64" s="10"/>
      <c r="AN64" s="10"/>
      <c r="AO64" s="10"/>
      <c r="AP64" s="54">
        <f>AP62</f>
        <v>6.35</v>
      </c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>
        <f>BC62</f>
        <v>2.84</v>
      </c>
      <c r="BD64" s="10">
        <f>BD62</f>
        <v>2.84</v>
      </c>
      <c r="BE64" s="10"/>
      <c r="BF64" s="10"/>
      <c r="BG64" s="10"/>
      <c r="BH64" s="10"/>
      <c r="BI64" s="10"/>
      <c r="BJ64" s="10"/>
      <c r="BK64" s="10">
        <f>BK62</f>
        <v>2.84</v>
      </c>
      <c r="BL64" s="10"/>
      <c r="BM64" s="10"/>
      <c r="BN64" s="10"/>
      <c r="BO64" s="10"/>
      <c r="BP64" s="15" t="s">
        <v>179</v>
      </c>
      <c r="BQ64" s="10"/>
      <c r="BR64" s="10"/>
      <c r="BS64" s="54">
        <f>BS62</f>
        <v>3.59</v>
      </c>
      <c r="BT64" s="10"/>
      <c r="BU64" s="10"/>
      <c r="BV64" s="10"/>
      <c r="BW64" s="10"/>
      <c r="BX64" s="10">
        <f>BX62</f>
        <v>5.96</v>
      </c>
      <c r="BY64" s="10"/>
      <c r="BZ64" s="10"/>
      <c r="CA64" s="10">
        <f>CA62</f>
        <v>2.71</v>
      </c>
      <c r="CB64" s="10">
        <f>CB62</f>
        <v>2.09</v>
      </c>
      <c r="CC64" s="10"/>
      <c r="CD64" s="10"/>
      <c r="CE64" s="10"/>
      <c r="CF64" s="10"/>
      <c r="CG64" s="10"/>
      <c r="CH64" s="10"/>
      <c r="CI64" s="10"/>
      <c r="CJ64" s="10"/>
      <c r="CK64" s="57">
        <f t="shared" si="22"/>
        <v>35.620000000000005</v>
      </c>
      <c r="CL64" s="94"/>
      <c r="CM64" s="8"/>
      <c r="CN64" s="8"/>
      <c r="CO64" s="8"/>
      <c r="CP64" s="8"/>
      <c r="CQ64" s="8"/>
      <c r="CR64" s="148"/>
      <c r="CS64" s="149"/>
    </row>
    <row r="65" spans="1:97" ht="30" x14ac:dyDescent="0.25">
      <c r="A65" s="161"/>
      <c r="B65" s="48" t="s">
        <v>175</v>
      </c>
      <c r="C65" s="93" t="s">
        <v>11</v>
      </c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54">
        <f>AE63</f>
        <v>10.119999999999999</v>
      </c>
      <c r="AF65" s="54">
        <f>6.4</f>
        <v>6.4</v>
      </c>
      <c r="AG65" s="54">
        <v>10.78</v>
      </c>
      <c r="AH65" s="54">
        <f>5.27</f>
        <v>5.27</v>
      </c>
      <c r="AI65" s="54">
        <f>3.58</f>
        <v>3.58</v>
      </c>
      <c r="AJ65" s="54"/>
      <c r="AK65" s="10"/>
      <c r="AL65" s="10"/>
      <c r="AM65" s="10"/>
      <c r="AN65" s="10"/>
      <c r="AO65" s="10"/>
      <c r="AP65" s="54">
        <f>AP64</f>
        <v>6.35</v>
      </c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>
        <f>BC64</f>
        <v>2.84</v>
      </c>
      <c r="BD65" s="10">
        <f>BD64</f>
        <v>2.84</v>
      </c>
      <c r="BE65" s="10"/>
      <c r="BF65" s="10"/>
      <c r="BG65" s="10"/>
      <c r="BH65" s="10"/>
      <c r="BI65" s="10"/>
      <c r="BJ65" s="10">
        <f>BJ63</f>
        <v>6.41</v>
      </c>
      <c r="BK65" s="10">
        <f>BK64</f>
        <v>2.84</v>
      </c>
      <c r="BL65" s="10"/>
      <c r="BM65" s="10">
        <f>BM63</f>
        <v>4.16</v>
      </c>
      <c r="BN65" s="10"/>
      <c r="BO65" s="10"/>
      <c r="BP65" s="15" t="str">
        <f>BP64</f>
        <v>2,98</v>
      </c>
      <c r="BQ65" s="10"/>
      <c r="BR65" s="10"/>
      <c r="BS65" s="54">
        <f>BS64</f>
        <v>3.59</v>
      </c>
      <c r="BT65" s="10"/>
      <c r="BU65" s="10"/>
      <c r="BV65" s="10">
        <f>BV63</f>
        <v>4.01</v>
      </c>
      <c r="BW65" s="10"/>
      <c r="BX65" s="10">
        <f>BX64</f>
        <v>5.96</v>
      </c>
      <c r="BY65" s="10">
        <f>BY63</f>
        <v>5.98</v>
      </c>
      <c r="BZ65" s="10">
        <f>BZ63</f>
        <v>6.02</v>
      </c>
      <c r="CA65" s="10">
        <f>CA64</f>
        <v>2.71</v>
      </c>
      <c r="CB65" s="10">
        <f>CB64</f>
        <v>2.09</v>
      </c>
      <c r="CC65" s="10"/>
      <c r="CD65" s="10"/>
      <c r="CE65" s="10"/>
      <c r="CF65" s="10"/>
      <c r="CG65" s="10"/>
      <c r="CH65" s="10"/>
      <c r="CI65" s="10"/>
      <c r="CJ65" s="10"/>
      <c r="CK65" s="57">
        <f t="shared" si="22"/>
        <v>91.949999999999989</v>
      </c>
      <c r="CL65" s="94"/>
      <c r="CM65" s="8"/>
      <c r="CN65" s="8"/>
      <c r="CO65" s="8"/>
      <c r="CP65" s="8"/>
      <c r="CQ65" s="8"/>
      <c r="CR65" s="148"/>
      <c r="CS65" s="149"/>
    </row>
    <row r="66" spans="1:97" x14ac:dyDescent="0.25">
      <c r="A66" s="161"/>
      <c r="B66" s="48" t="s">
        <v>244</v>
      </c>
      <c r="C66" s="93" t="s">
        <v>11</v>
      </c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54">
        <f>AE65</f>
        <v>10.119999999999999</v>
      </c>
      <c r="AF66" s="54">
        <f>6.4</f>
        <v>6.4</v>
      </c>
      <c r="AG66" s="54">
        <f>10.78</f>
        <v>10.78</v>
      </c>
      <c r="AH66" s="54">
        <f>5.27</f>
        <v>5.27</v>
      </c>
      <c r="AI66" s="54">
        <f>3.58</f>
        <v>3.58</v>
      </c>
      <c r="AJ66" s="54"/>
      <c r="AK66" s="10"/>
      <c r="AL66" s="10"/>
      <c r="AM66" s="10"/>
      <c r="AN66" s="10"/>
      <c r="AO66" s="10"/>
      <c r="AP66" s="54">
        <f>AP65</f>
        <v>6.35</v>
      </c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>
        <f>BC65</f>
        <v>2.84</v>
      </c>
      <c r="BD66" s="10">
        <f>BD65</f>
        <v>2.84</v>
      </c>
      <c r="BE66" s="10"/>
      <c r="BF66" s="10"/>
      <c r="BG66" s="10"/>
      <c r="BH66" s="10"/>
      <c r="BI66" s="10"/>
      <c r="BJ66" s="10">
        <f>BJ65</f>
        <v>6.41</v>
      </c>
      <c r="BK66" s="10">
        <f>BK65</f>
        <v>2.84</v>
      </c>
      <c r="BL66" s="10"/>
      <c r="BM66" s="10">
        <f>BM65</f>
        <v>4.16</v>
      </c>
      <c r="BN66" s="10"/>
      <c r="BO66" s="10"/>
      <c r="BP66" s="10" t="str">
        <f>BP65</f>
        <v>2,98</v>
      </c>
      <c r="BQ66" s="10"/>
      <c r="BR66" s="10"/>
      <c r="BS66" s="54">
        <f>BS65</f>
        <v>3.59</v>
      </c>
      <c r="BT66" s="10"/>
      <c r="BU66" s="10"/>
      <c r="BV66" s="10">
        <f>BV65</f>
        <v>4.01</v>
      </c>
      <c r="BW66" s="10"/>
      <c r="BX66" s="10">
        <f>BX65</f>
        <v>5.96</v>
      </c>
      <c r="BY66" s="10">
        <f>BY65</f>
        <v>5.98</v>
      </c>
      <c r="BZ66" s="10">
        <f>BZ65</f>
        <v>6.02</v>
      </c>
      <c r="CA66" s="10">
        <f>CA65</f>
        <v>2.71</v>
      </c>
      <c r="CB66" s="10">
        <f>CB65</f>
        <v>2.09</v>
      </c>
      <c r="CC66" s="10"/>
      <c r="CD66" s="10"/>
      <c r="CE66" s="10"/>
      <c r="CF66" s="10"/>
      <c r="CG66" s="10"/>
      <c r="CH66" s="10"/>
      <c r="CI66" s="10"/>
      <c r="CJ66" s="10"/>
      <c r="CK66" s="57">
        <f t="shared" si="22"/>
        <v>91.949999999999989</v>
      </c>
      <c r="CL66" s="94"/>
      <c r="CM66" s="8"/>
      <c r="CN66" s="8"/>
      <c r="CO66" s="8"/>
      <c r="CP66" s="8"/>
      <c r="CQ66" s="94" t="s">
        <v>292</v>
      </c>
      <c r="CR66" s="148"/>
      <c r="CS66" s="149"/>
    </row>
    <row r="67" spans="1:97" x14ac:dyDescent="0.25">
      <c r="A67" s="155"/>
      <c r="B67" s="48" t="s">
        <v>297</v>
      </c>
      <c r="C67" s="93" t="s">
        <v>12</v>
      </c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54"/>
      <c r="AF67" s="54"/>
      <c r="AG67" s="54"/>
      <c r="AH67" s="54"/>
      <c r="AI67" s="54"/>
      <c r="AJ67" s="54"/>
      <c r="AK67" s="10"/>
      <c r="AL67" s="10"/>
      <c r="AM67" s="10"/>
      <c r="AN67" s="10"/>
      <c r="AO67" s="10"/>
      <c r="AP67" s="54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>
        <f>10.14-1</f>
        <v>9.14</v>
      </c>
      <c r="BK67" s="10"/>
      <c r="BL67" s="10"/>
      <c r="BM67" s="10"/>
      <c r="BN67" s="10"/>
      <c r="BO67" s="10"/>
      <c r="BP67" s="10"/>
      <c r="BQ67" s="10"/>
      <c r="BR67" s="10"/>
      <c r="BS67" s="54"/>
      <c r="BT67" s="10"/>
      <c r="BU67" s="10"/>
      <c r="BV67" s="10"/>
      <c r="BW67" s="10"/>
      <c r="BX67" s="10"/>
      <c r="BY67" s="10"/>
      <c r="BZ67" s="10">
        <f>10.69-1.05*3</f>
        <v>7.5399999999999991</v>
      </c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57">
        <f t="shared" si="22"/>
        <v>16.68</v>
      </c>
      <c r="CL67" s="94"/>
      <c r="CM67" s="8"/>
      <c r="CN67" s="8"/>
      <c r="CO67" s="8"/>
      <c r="CP67" s="8"/>
      <c r="CQ67" s="8"/>
      <c r="CR67" s="148"/>
      <c r="CS67" s="149"/>
    </row>
    <row r="68" spans="1:97" s="2" customFormat="1" ht="75" x14ac:dyDescent="0.25">
      <c r="A68" s="58" t="s">
        <v>40</v>
      </c>
      <c r="B68" s="59" t="s">
        <v>243</v>
      </c>
      <c r="C68" s="60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  <c r="BI68" s="61"/>
      <c r="BJ68" s="61"/>
      <c r="BK68" s="61"/>
      <c r="BL68" s="61"/>
      <c r="BM68" s="61"/>
      <c r="BN68" s="62"/>
      <c r="BO68" s="61"/>
      <c r="BP68" s="61"/>
      <c r="BQ68" s="61"/>
      <c r="BR68" s="61"/>
      <c r="BS68" s="63"/>
      <c r="BT68" s="61"/>
      <c r="BU68" s="61"/>
      <c r="BV68" s="61"/>
      <c r="BW68" s="61"/>
      <c r="BX68" s="61"/>
      <c r="BY68" s="61"/>
      <c r="BZ68" s="61"/>
      <c r="CA68" s="61"/>
      <c r="CB68" s="61"/>
      <c r="CC68" s="61"/>
      <c r="CD68" s="61"/>
      <c r="CE68" s="61"/>
      <c r="CF68" s="61"/>
      <c r="CG68" s="61"/>
      <c r="CH68" s="61"/>
      <c r="CI68" s="61"/>
      <c r="CJ68" s="61"/>
      <c r="CK68" s="61"/>
      <c r="CL68" s="94"/>
      <c r="CM68" s="8"/>
      <c r="CN68" s="8"/>
      <c r="CO68" s="8"/>
      <c r="CP68" s="8"/>
      <c r="CQ68" s="8"/>
      <c r="CR68" s="148"/>
      <c r="CS68" s="147"/>
    </row>
    <row r="69" spans="1:97" ht="16.5" customHeight="1" x14ac:dyDescent="0.25">
      <c r="A69" s="161" t="s">
        <v>208</v>
      </c>
      <c r="B69" s="48" t="s">
        <v>171</v>
      </c>
      <c r="C69" s="93" t="s">
        <v>11</v>
      </c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54">
        <v>7.43</v>
      </c>
      <c r="AK69" s="10">
        <v>14.14</v>
      </c>
      <c r="AL69" s="10"/>
      <c r="AM69" s="10"/>
      <c r="AN69" s="10">
        <v>12.71</v>
      </c>
      <c r="AO69" s="10">
        <f>8.11</f>
        <v>8.11</v>
      </c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>
        <v>9.8000000000000007</v>
      </c>
      <c r="BB69" s="10">
        <v>6.19</v>
      </c>
      <c r="BC69" s="10"/>
      <c r="BD69" s="10"/>
      <c r="BE69" s="10"/>
      <c r="BF69" s="10">
        <v>12.46</v>
      </c>
      <c r="BG69" s="10">
        <v>31.75</v>
      </c>
      <c r="BH69" s="10"/>
      <c r="BI69" s="10">
        <v>7.6</v>
      </c>
      <c r="BJ69" s="10"/>
      <c r="BK69" s="10"/>
      <c r="BL69" s="10">
        <v>7.23</v>
      </c>
      <c r="BM69" s="10"/>
      <c r="BN69" s="10"/>
      <c r="BO69" s="10"/>
      <c r="BP69" s="10"/>
      <c r="BQ69" s="10"/>
      <c r="BR69" s="10"/>
      <c r="BS69" s="10"/>
      <c r="BT69" s="178">
        <f>127.6</f>
        <v>127.6</v>
      </c>
      <c r="BU69" s="178"/>
      <c r="BV69" s="10"/>
      <c r="BW69" s="10">
        <f>13.79</f>
        <v>13.79</v>
      </c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57">
        <f t="shared" ref="CK69:CK75" si="24">SUM(D69:CJ69)</f>
        <v>258.81</v>
      </c>
      <c r="CL69" s="94"/>
      <c r="CM69" s="8"/>
      <c r="CN69" s="8"/>
      <c r="CO69" s="8"/>
      <c r="CP69" s="8"/>
      <c r="CQ69" s="8"/>
      <c r="CR69" s="148"/>
      <c r="CS69" s="149"/>
    </row>
    <row r="70" spans="1:97" ht="16.5" customHeight="1" x14ac:dyDescent="0.25">
      <c r="A70" s="161"/>
      <c r="B70" s="48" t="s">
        <v>172</v>
      </c>
      <c r="C70" s="93" t="s">
        <v>11</v>
      </c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54">
        <f t="shared" ref="AJ70:AK71" si="25">AJ69</f>
        <v>7.43</v>
      </c>
      <c r="AK70" s="10">
        <f t="shared" si="25"/>
        <v>14.14</v>
      </c>
      <c r="AL70" s="10"/>
      <c r="AM70" s="10"/>
      <c r="AN70" s="10">
        <f t="shared" ref="AN70:AO71" si="26">AN69</f>
        <v>12.71</v>
      </c>
      <c r="AO70" s="10">
        <f t="shared" si="26"/>
        <v>8.11</v>
      </c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>
        <f t="shared" ref="BA70:BB72" si="27">BA69</f>
        <v>9.8000000000000007</v>
      </c>
      <c r="BB70" s="10">
        <f t="shared" si="27"/>
        <v>6.19</v>
      </c>
      <c r="BC70" s="10"/>
      <c r="BD70" s="10"/>
      <c r="BE70" s="10"/>
      <c r="BF70" s="10">
        <f>BF69</f>
        <v>12.46</v>
      </c>
      <c r="BG70" s="10">
        <f>BG69</f>
        <v>31.75</v>
      </c>
      <c r="BH70" s="10"/>
      <c r="BI70" s="10">
        <f>BI69</f>
        <v>7.6</v>
      </c>
      <c r="BJ70" s="10"/>
      <c r="BK70" s="10"/>
      <c r="BL70" s="10">
        <f>BL69</f>
        <v>7.23</v>
      </c>
      <c r="BM70" s="10"/>
      <c r="BN70" s="10"/>
      <c r="BO70" s="10"/>
      <c r="BP70" s="10"/>
      <c r="BQ70" s="10"/>
      <c r="BR70" s="10"/>
      <c r="BS70" s="10"/>
      <c r="BT70" s="178">
        <f>BT69</f>
        <v>127.6</v>
      </c>
      <c r="BU70" s="178"/>
      <c r="BV70" s="10"/>
      <c r="BW70" s="10">
        <f>BW69</f>
        <v>13.79</v>
      </c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57">
        <f t="shared" si="24"/>
        <v>258.81</v>
      </c>
      <c r="CL70" s="94"/>
      <c r="CM70" s="8"/>
      <c r="CN70" s="8"/>
      <c r="CO70" s="8"/>
      <c r="CP70" s="8"/>
      <c r="CQ70" s="8"/>
      <c r="CR70" s="148"/>
      <c r="CS70" s="149"/>
    </row>
    <row r="71" spans="1:97" ht="31.5" customHeight="1" x14ac:dyDescent="0.25">
      <c r="A71" s="161"/>
      <c r="B71" s="48" t="s">
        <v>173</v>
      </c>
      <c r="C71" s="93" t="s">
        <v>11</v>
      </c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54">
        <f t="shared" si="25"/>
        <v>7.43</v>
      </c>
      <c r="AK71" s="10">
        <f t="shared" si="25"/>
        <v>14.14</v>
      </c>
      <c r="AL71" s="10"/>
      <c r="AM71" s="10"/>
      <c r="AN71" s="10">
        <f t="shared" si="26"/>
        <v>12.71</v>
      </c>
      <c r="AO71" s="10">
        <f t="shared" si="26"/>
        <v>8.11</v>
      </c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>
        <f t="shared" si="27"/>
        <v>9.8000000000000007</v>
      </c>
      <c r="BB71" s="10">
        <f t="shared" si="27"/>
        <v>6.19</v>
      </c>
      <c r="BC71" s="10"/>
      <c r="BD71" s="10"/>
      <c r="BE71" s="10"/>
      <c r="BF71" s="10">
        <f>BF70</f>
        <v>12.46</v>
      </c>
      <c r="BG71" s="10">
        <f>BG70</f>
        <v>31.75</v>
      </c>
      <c r="BH71" s="10"/>
      <c r="BI71" s="10">
        <f>BI70</f>
        <v>7.6</v>
      </c>
      <c r="BJ71" s="10"/>
      <c r="BK71" s="10"/>
      <c r="BL71" s="10">
        <f>BL70</f>
        <v>7.23</v>
      </c>
      <c r="BM71" s="10"/>
      <c r="BN71" s="10"/>
      <c r="BO71" s="10"/>
      <c r="BP71" s="10"/>
      <c r="BQ71" s="10"/>
      <c r="BR71" s="10"/>
      <c r="BS71" s="10"/>
      <c r="BT71" s="178">
        <f>BT70</f>
        <v>127.6</v>
      </c>
      <c r="BU71" s="178"/>
      <c r="BV71" s="10"/>
      <c r="BW71" s="10">
        <f>BW70</f>
        <v>13.79</v>
      </c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57">
        <f t="shared" si="24"/>
        <v>258.81</v>
      </c>
      <c r="CL71" s="94"/>
      <c r="CM71" s="8"/>
      <c r="CN71" s="8"/>
      <c r="CO71" s="8"/>
      <c r="CP71" s="8"/>
      <c r="CQ71" s="8"/>
      <c r="CR71" s="148"/>
      <c r="CS71" s="149"/>
    </row>
    <row r="72" spans="1:97" ht="30" x14ac:dyDescent="0.25">
      <c r="A72" s="161"/>
      <c r="B72" s="48" t="s">
        <v>174</v>
      </c>
      <c r="C72" s="93" t="s">
        <v>11</v>
      </c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54">
        <f>AJ71</f>
        <v>7.43</v>
      </c>
      <c r="AK72" s="10">
        <f>AK71</f>
        <v>14.14</v>
      </c>
      <c r="AL72" s="10"/>
      <c r="AM72" s="10"/>
      <c r="AN72" s="10">
        <f>AN71</f>
        <v>12.71</v>
      </c>
      <c r="AO72" s="10">
        <f>AO71</f>
        <v>8.11</v>
      </c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>
        <f t="shared" si="27"/>
        <v>9.8000000000000007</v>
      </c>
      <c r="BB72" s="10">
        <f t="shared" si="27"/>
        <v>6.19</v>
      </c>
      <c r="BC72" s="10"/>
      <c r="BD72" s="10"/>
      <c r="BE72" s="10"/>
      <c r="BF72" s="10"/>
      <c r="BG72" s="10">
        <f>BG71</f>
        <v>31.75</v>
      </c>
      <c r="BH72" s="10"/>
      <c r="BI72" s="10"/>
      <c r="BJ72" s="10"/>
      <c r="BK72" s="10"/>
      <c r="BL72" s="10">
        <f>BL71</f>
        <v>7.23</v>
      </c>
      <c r="BM72" s="10"/>
      <c r="BN72" s="10"/>
      <c r="BO72" s="10"/>
      <c r="BP72" s="10"/>
      <c r="BQ72" s="10"/>
      <c r="BR72" s="10"/>
      <c r="BS72" s="10"/>
      <c r="BT72" s="178">
        <f>BT71</f>
        <v>127.6</v>
      </c>
      <c r="BU72" s="178"/>
      <c r="BV72" s="10"/>
      <c r="BW72" s="10">
        <f>BW71</f>
        <v>13.79</v>
      </c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57">
        <f t="shared" si="24"/>
        <v>238.74999999999997</v>
      </c>
      <c r="CL72" s="94"/>
      <c r="CM72" s="8"/>
      <c r="CN72" s="8"/>
      <c r="CO72" s="8"/>
      <c r="CP72" s="8"/>
      <c r="CQ72" s="8"/>
      <c r="CR72" s="148"/>
      <c r="CS72" s="149"/>
    </row>
    <row r="73" spans="1:97" ht="45" x14ac:dyDescent="0.25">
      <c r="A73" s="161"/>
      <c r="B73" s="48" t="s">
        <v>218</v>
      </c>
      <c r="C73" s="93" t="s">
        <v>11</v>
      </c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54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>
        <f>BF71</f>
        <v>12.46</v>
      </c>
      <c r="BG73" s="10"/>
      <c r="BH73" s="10"/>
      <c r="BI73" s="10">
        <f>BI71</f>
        <v>7.6</v>
      </c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57">
        <f t="shared" si="24"/>
        <v>20.060000000000002</v>
      </c>
      <c r="CL73" s="94"/>
      <c r="CM73" s="8"/>
      <c r="CN73" s="8"/>
      <c r="CO73" s="8"/>
      <c r="CP73" s="8"/>
      <c r="CQ73" s="8"/>
      <c r="CR73" s="148"/>
      <c r="CS73" s="149"/>
    </row>
    <row r="74" spans="1:97" x14ac:dyDescent="0.25">
      <c r="A74" s="161"/>
      <c r="B74" s="48" t="s">
        <v>245</v>
      </c>
      <c r="C74" s="93" t="s">
        <v>11</v>
      </c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54">
        <f>AJ72</f>
        <v>7.43</v>
      </c>
      <c r="AK74" s="10">
        <f>AK72</f>
        <v>14.14</v>
      </c>
      <c r="AL74" s="10"/>
      <c r="AM74" s="10"/>
      <c r="AN74" s="10">
        <f>AN72</f>
        <v>12.71</v>
      </c>
      <c r="AO74" s="10">
        <f>AO72</f>
        <v>8.11</v>
      </c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>
        <f>BA72</f>
        <v>9.8000000000000007</v>
      </c>
      <c r="BB74" s="10">
        <f>BB72</f>
        <v>6.19</v>
      </c>
      <c r="BC74" s="10"/>
      <c r="BD74" s="10"/>
      <c r="BE74" s="10"/>
      <c r="BF74" s="10">
        <f>BF73</f>
        <v>12.46</v>
      </c>
      <c r="BG74" s="10">
        <f>BG72</f>
        <v>31.75</v>
      </c>
      <c r="BH74" s="10"/>
      <c r="BI74" s="10">
        <f>BI73</f>
        <v>7.6</v>
      </c>
      <c r="BJ74" s="10"/>
      <c r="BK74" s="10"/>
      <c r="BL74" s="10">
        <f>BL72</f>
        <v>7.23</v>
      </c>
      <c r="BM74" s="10"/>
      <c r="BN74" s="51"/>
      <c r="BO74" s="10"/>
      <c r="BP74" s="10"/>
      <c r="BQ74" s="51"/>
      <c r="BR74" s="51"/>
      <c r="BS74" s="10"/>
      <c r="BT74" s="178">
        <f>BT72</f>
        <v>127.6</v>
      </c>
      <c r="BU74" s="178"/>
      <c r="BV74" s="10"/>
      <c r="BW74" s="10">
        <f>BW72</f>
        <v>13.79</v>
      </c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57">
        <f t="shared" si="24"/>
        <v>258.81</v>
      </c>
      <c r="CL74" s="94"/>
      <c r="CM74" s="8"/>
      <c r="CN74" s="8"/>
      <c r="CO74" s="8"/>
      <c r="CP74" s="8"/>
      <c r="CQ74" s="94" t="s">
        <v>292</v>
      </c>
      <c r="CR74" s="148"/>
      <c r="CS74" s="149"/>
    </row>
    <row r="75" spans="1:97" s="2" customFormat="1" x14ac:dyDescent="0.25">
      <c r="A75" s="155"/>
      <c r="B75" s="48" t="s">
        <v>297</v>
      </c>
      <c r="C75" s="56" t="s">
        <v>12</v>
      </c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54"/>
      <c r="AK75" s="51"/>
      <c r="AL75" s="18"/>
      <c r="AM75" s="18"/>
      <c r="AN75" s="51">
        <f>20.95-1.05*5</f>
        <v>15.7</v>
      </c>
      <c r="AO75" s="51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51">
        <f>10.6-3</f>
        <v>7.6</v>
      </c>
      <c r="BC75" s="51"/>
      <c r="BD75" s="51"/>
      <c r="BE75" s="51"/>
      <c r="BF75" s="51"/>
      <c r="BG75" s="51">
        <f>37-13-1.2</f>
        <v>22.8</v>
      </c>
      <c r="BH75" s="18"/>
      <c r="BI75" s="18"/>
      <c r="BJ75" s="18"/>
      <c r="BK75" s="18"/>
      <c r="BL75" s="18"/>
      <c r="BM75" s="18"/>
      <c r="BN75" s="51"/>
      <c r="BO75" s="18"/>
      <c r="BP75" s="18"/>
      <c r="BQ75" s="51"/>
      <c r="BR75" s="51"/>
      <c r="BS75" s="18"/>
      <c r="BT75" s="177">
        <f>141.29-(1.6*8+1.05*12)</f>
        <v>115.88999999999999</v>
      </c>
      <c r="BU75" s="177"/>
      <c r="BV75" s="18"/>
      <c r="BW75" s="51">
        <f>16.9-0.87</f>
        <v>16.029999999999998</v>
      </c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57">
        <f t="shared" si="24"/>
        <v>178.01999999999998</v>
      </c>
      <c r="CL75" s="94"/>
      <c r="CM75" s="8"/>
      <c r="CN75" s="8"/>
      <c r="CO75" s="8"/>
      <c r="CP75" s="8"/>
      <c r="CQ75" s="8"/>
      <c r="CR75" s="148"/>
      <c r="CS75" s="147"/>
    </row>
    <row r="76" spans="1:97" s="2" customFormat="1" ht="45" x14ac:dyDescent="0.25">
      <c r="A76" s="58" t="s">
        <v>181</v>
      </c>
      <c r="B76" s="59" t="s">
        <v>242</v>
      </c>
      <c r="C76" s="64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5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  <c r="BH76" s="61"/>
      <c r="BI76" s="61"/>
      <c r="BJ76" s="61"/>
      <c r="BK76" s="61"/>
      <c r="BL76" s="61"/>
      <c r="BM76" s="61"/>
      <c r="BN76" s="61"/>
      <c r="BO76" s="61"/>
      <c r="BP76" s="61"/>
      <c r="BQ76" s="61"/>
      <c r="BR76" s="61"/>
      <c r="BS76" s="61"/>
      <c r="BT76" s="61"/>
      <c r="BU76" s="61"/>
      <c r="BV76" s="61"/>
      <c r="BW76" s="65"/>
      <c r="BX76" s="61"/>
      <c r="BY76" s="61"/>
      <c r="BZ76" s="61"/>
      <c r="CA76" s="61"/>
      <c r="CB76" s="61"/>
      <c r="CC76" s="61"/>
      <c r="CD76" s="61"/>
      <c r="CE76" s="61"/>
      <c r="CF76" s="61"/>
      <c r="CG76" s="61"/>
      <c r="CH76" s="61"/>
      <c r="CI76" s="61"/>
      <c r="CJ76" s="61"/>
      <c r="CK76" s="61"/>
      <c r="CL76" s="94"/>
      <c r="CM76" s="8"/>
      <c r="CN76" s="8"/>
      <c r="CO76" s="8"/>
      <c r="CP76" s="8"/>
      <c r="CQ76" s="8"/>
      <c r="CR76" s="148"/>
      <c r="CS76" s="147"/>
    </row>
    <row r="77" spans="1:97" s="2" customFormat="1" ht="15.75" customHeight="1" x14ac:dyDescent="0.25">
      <c r="A77" s="158" t="s">
        <v>208</v>
      </c>
      <c r="B77" s="48" t="s">
        <v>171</v>
      </c>
      <c r="C77" s="93" t="s">
        <v>11</v>
      </c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51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0">
        <f>9.44</f>
        <v>9.44</v>
      </c>
      <c r="BO77" s="10"/>
      <c r="BP77" s="10"/>
      <c r="BQ77" s="10">
        <v>22.64</v>
      </c>
      <c r="BR77" s="10">
        <v>5.9</v>
      </c>
      <c r="BS77" s="18"/>
      <c r="BT77" s="18"/>
      <c r="BU77" s="18"/>
      <c r="BV77" s="18"/>
      <c r="BW77" s="51"/>
      <c r="BX77" s="18"/>
      <c r="BY77" s="18"/>
      <c r="BZ77" s="18"/>
      <c r="CA77" s="18"/>
      <c r="CB77" s="18"/>
      <c r="CC77" s="10">
        <f>29.95-0.54</f>
        <v>29.41</v>
      </c>
      <c r="CD77" s="10">
        <f>10.7+0.33</f>
        <v>11.03</v>
      </c>
      <c r="CE77" s="10">
        <f>37.37-0.54</f>
        <v>36.83</v>
      </c>
      <c r="CF77" s="10">
        <v>7.07</v>
      </c>
      <c r="CG77" s="10">
        <f>30.17-0.54</f>
        <v>29.630000000000003</v>
      </c>
      <c r="CH77" s="10">
        <f>14.61+0.33</f>
        <v>14.94</v>
      </c>
      <c r="CI77" s="10">
        <v>6.13</v>
      </c>
      <c r="CJ77" s="10">
        <f>6.13</f>
        <v>6.13</v>
      </c>
      <c r="CK77" s="57">
        <f t="shared" ref="CK77:CK82" si="28">SUM(D77:CJ77)</f>
        <v>179.14999999999998</v>
      </c>
      <c r="CL77" s="94"/>
      <c r="CM77" s="8"/>
      <c r="CN77" s="8"/>
      <c r="CO77" s="8"/>
      <c r="CP77" s="8"/>
      <c r="CQ77" s="8"/>
      <c r="CR77" s="148"/>
      <c r="CS77" s="147"/>
    </row>
    <row r="78" spans="1:97" s="2" customFormat="1" x14ac:dyDescent="0.25">
      <c r="A78" s="158"/>
      <c r="B78" s="48" t="s">
        <v>172</v>
      </c>
      <c r="C78" s="93" t="s">
        <v>11</v>
      </c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51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0">
        <f>BN77</f>
        <v>9.44</v>
      </c>
      <c r="BO78" s="10"/>
      <c r="BP78" s="10"/>
      <c r="BQ78" s="10">
        <f t="shared" ref="BQ78:BR81" si="29">BQ77</f>
        <v>22.64</v>
      </c>
      <c r="BR78" s="10">
        <f t="shared" si="29"/>
        <v>5.9</v>
      </c>
      <c r="BS78" s="18"/>
      <c r="BT78" s="18"/>
      <c r="BU78" s="18"/>
      <c r="BV78" s="18"/>
      <c r="BW78" s="51"/>
      <c r="BX78" s="18"/>
      <c r="BY78" s="18"/>
      <c r="BZ78" s="18"/>
      <c r="CA78" s="18"/>
      <c r="CB78" s="18"/>
      <c r="CC78" s="10">
        <f t="shared" ref="CC78:CJ81" si="30">CC77</f>
        <v>29.41</v>
      </c>
      <c r="CD78" s="10">
        <f t="shared" si="30"/>
        <v>11.03</v>
      </c>
      <c r="CE78" s="10">
        <f t="shared" si="30"/>
        <v>36.83</v>
      </c>
      <c r="CF78" s="10">
        <f t="shared" si="30"/>
        <v>7.07</v>
      </c>
      <c r="CG78" s="10">
        <f t="shared" si="30"/>
        <v>29.630000000000003</v>
      </c>
      <c r="CH78" s="10">
        <f t="shared" si="30"/>
        <v>14.94</v>
      </c>
      <c r="CI78" s="10">
        <f t="shared" si="30"/>
        <v>6.13</v>
      </c>
      <c r="CJ78" s="10">
        <f t="shared" si="30"/>
        <v>6.13</v>
      </c>
      <c r="CK78" s="57">
        <f t="shared" si="28"/>
        <v>179.14999999999998</v>
      </c>
      <c r="CL78" s="94"/>
      <c r="CM78" s="8"/>
      <c r="CN78" s="8"/>
      <c r="CO78" s="8"/>
      <c r="CP78" s="8"/>
      <c r="CQ78" s="8"/>
      <c r="CR78" s="148"/>
      <c r="CS78" s="147"/>
    </row>
    <row r="79" spans="1:97" s="2" customFormat="1" ht="30" x14ac:dyDescent="0.25">
      <c r="A79" s="158"/>
      <c r="B79" s="48" t="s">
        <v>173</v>
      </c>
      <c r="C79" s="93" t="s">
        <v>11</v>
      </c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51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0">
        <f>BN78</f>
        <v>9.44</v>
      </c>
      <c r="BO79" s="10"/>
      <c r="BP79" s="10"/>
      <c r="BQ79" s="10">
        <f t="shared" si="29"/>
        <v>22.64</v>
      </c>
      <c r="BR79" s="10">
        <f t="shared" si="29"/>
        <v>5.9</v>
      </c>
      <c r="BS79" s="18"/>
      <c r="BT79" s="18"/>
      <c r="BU79" s="18"/>
      <c r="BV79" s="18"/>
      <c r="BW79" s="51"/>
      <c r="BX79" s="18"/>
      <c r="BY79" s="18"/>
      <c r="BZ79" s="18"/>
      <c r="CA79" s="18"/>
      <c r="CB79" s="18"/>
      <c r="CC79" s="10">
        <f t="shared" si="30"/>
        <v>29.41</v>
      </c>
      <c r="CD79" s="10">
        <f t="shared" si="30"/>
        <v>11.03</v>
      </c>
      <c r="CE79" s="10">
        <f t="shared" si="30"/>
        <v>36.83</v>
      </c>
      <c r="CF79" s="10">
        <f t="shared" si="30"/>
        <v>7.07</v>
      </c>
      <c r="CG79" s="10">
        <f t="shared" si="30"/>
        <v>29.630000000000003</v>
      </c>
      <c r="CH79" s="10">
        <f t="shared" si="30"/>
        <v>14.94</v>
      </c>
      <c r="CI79" s="10">
        <f t="shared" si="30"/>
        <v>6.13</v>
      </c>
      <c r="CJ79" s="10">
        <f t="shared" si="30"/>
        <v>6.13</v>
      </c>
      <c r="CK79" s="57">
        <f t="shared" si="28"/>
        <v>179.14999999999998</v>
      </c>
      <c r="CL79" s="94"/>
      <c r="CM79" s="8"/>
      <c r="CN79" s="8"/>
      <c r="CO79" s="8"/>
      <c r="CP79" s="8"/>
      <c r="CQ79" s="8"/>
      <c r="CR79" s="148"/>
      <c r="CS79" s="147"/>
    </row>
    <row r="80" spans="1:97" s="2" customFormat="1" ht="30" x14ac:dyDescent="0.25">
      <c r="A80" s="158"/>
      <c r="B80" s="48" t="s">
        <v>180</v>
      </c>
      <c r="C80" s="93" t="s">
        <v>11</v>
      </c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51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0">
        <f>BN79</f>
        <v>9.44</v>
      </c>
      <c r="BO80" s="10"/>
      <c r="BP80" s="10"/>
      <c r="BQ80" s="10">
        <f t="shared" si="29"/>
        <v>22.64</v>
      </c>
      <c r="BR80" s="10">
        <f t="shared" si="29"/>
        <v>5.9</v>
      </c>
      <c r="BS80" s="18"/>
      <c r="BT80" s="18"/>
      <c r="BU80" s="18"/>
      <c r="BV80" s="18"/>
      <c r="BW80" s="51"/>
      <c r="BX80" s="18"/>
      <c r="BY80" s="18"/>
      <c r="BZ80" s="18"/>
      <c r="CA80" s="18"/>
      <c r="CB80" s="18"/>
      <c r="CC80" s="10">
        <f t="shared" si="30"/>
        <v>29.41</v>
      </c>
      <c r="CD80" s="10">
        <f t="shared" si="30"/>
        <v>11.03</v>
      </c>
      <c r="CE80" s="10">
        <f t="shared" si="30"/>
        <v>36.83</v>
      </c>
      <c r="CF80" s="10">
        <f t="shared" si="30"/>
        <v>7.07</v>
      </c>
      <c r="CG80" s="10">
        <f t="shared" si="30"/>
        <v>29.630000000000003</v>
      </c>
      <c r="CH80" s="10">
        <f t="shared" si="30"/>
        <v>14.94</v>
      </c>
      <c r="CI80" s="10">
        <f t="shared" si="30"/>
        <v>6.13</v>
      </c>
      <c r="CJ80" s="10">
        <f t="shared" si="30"/>
        <v>6.13</v>
      </c>
      <c r="CK80" s="57">
        <f t="shared" si="28"/>
        <v>179.14999999999998</v>
      </c>
      <c r="CL80" s="94"/>
      <c r="CM80" s="8"/>
      <c r="CN80" s="8"/>
      <c r="CO80" s="8"/>
      <c r="CP80" s="8"/>
      <c r="CQ80" s="8"/>
      <c r="CR80" s="148"/>
      <c r="CS80" s="147"/>
    </row>
    <row r="81" spans="1:99" s="2" customFormat="1" x14ac:dyDescent="0.25">
      <c r="A81" s="158"/>
      <c r="B81" s="48" t="s">
        <v>246</v>
      </c>
      <c r="C81" s="93" t="s">
        <v>11</v>
      </c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51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51">
        <f>BN80</f>
        <v>9.44</v>
      </c>
      <c r="BO81" s="10"/>
      <c r="BP81" s="10"/>
      <c r="BQ81" s="51">
        <f t="shared" si="29"/>
        <v>22.64</v>
      </c>
      <c r="BR81" s="51">
        <f t="shared" si="29"/>
        <v>5.9</v>
      </c>
      <c r="BS81" s="18"/>
      <c r="BT81" s="18"/>
      <c r="BU81" s="18"/>
      <c r="BV81" s="18"/>
      <c r="BW81" s="51"/>
      <c r="BX81" s="18"/>
      <c r="BY81" s="18"/>
      <c r="BZ81" s="18"/>
      <c r="CA81" s="18"/>
      <c r="CB81" s="18"/>
      <c r="CC81" s="51">
        <f t="shared" si="30"/>
        <v>29.41</v>
      </c>
      <c r="CD81" s="51">
        <f t="shared" si="30"/>
        <v>11.03</v>
      </c>
      <c r="CE81" s="51">
        <f t="shared" si="30"/>
        <v>36.83</v>
      </c>
      <c r="CF81" s="51">
        <f t="shared" si="30"/>
        <v>7.07</v>
      </c>
      <c r="CG81" s="51">
        <f t="shared" si="30"/>
        <v>29.630000000000003</v>
      </c>
      <c r="CH81" s="51">
        <f t="shared" si="30"/>
        <v>14.94</v>
      </c>
      <c r="CI81" s="51">
        <f t="shared" si="30"/>
        <v>6.13</v>
      </c>
      <c r="CJ81" s="51">
        <f t="shared" si="30"/>
        <v>6.13</v>
      </c>
      <c r="CK81" s="57">
        <f t="shared" si="28"/>
        <v>179.14999999999998</v>
      </c>
      <c r="CL81" s="94"/>
      <c r="CM81" s="8"/>
      <c r="CN81" s="8"/>
      <c r="CO81" s="8"/>
      <c r="CP81" s="8"/>
      <c r="CQ81" s="94" t="s">
        <v>298</v>
      </c>
      <c r="CR81" s="148"/>
      <c r="CS81" s="147"/>
    </row>
    <row r="82" spans="1:99" s="2" customFormat="1" x14ac:dyDescent="0.25">
      <c r="A82" s="155"/>
      <c r="B82" s="48" t="s">
        <v>297</v>
      </c>
      <c r="C82" s="56" t="s">
        <v>12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51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51">
        <f>13.96-1.05-1.65-1.65</f>
        <v>9.61</v>
      </c>
      <c r="BO82" s="18"/>
      <c r="BP82" s="18"/>
      <c r="BQ82" s="51">
        <f>20.3-1.6-1.6-1.05-1.05</f>
        <v>14.999999999999996</v>
      </c>
      <c r="BR82" s="51">
        <f>9.76-1.6</f>
        <v>8.16</v>
      </c>
      <c r="BS82" s="18"/>
      <c r="BT82" s="18"/>
      <c r="BU82" s="18"/>
      <c r="BV82" s="18"/>
      <c r="BW82" s="51"/>
      <c r="BX82" s="18"/>
      <c r="BY82" s="18"/>
      <c r="BZ82" s="18"/>
      <c r="CA82" s="18"/>
      <c r="CB82" s="18"/>
      <c r="CC82" s="51">
        <f>24.9-1.6-1.6-1.75</f>
        <v>19.949999999999996</v>
      </c>
      <c r="CD82" s="51">
        <f>13.62-1.6*2</f>
        <v>10.419999999999998</v>
      </c>
      <c r="CE82" s="51">
        <f>39.68-1.6*4</f>
        <v>33.28</v>
      </c>
      <c r="CF82" s="51">
        <f>10.96-1.6*2</f>
        <v>7.7600000000000007</v>
      </c>
      <c r="CG82" s="51">
        <f>25.16-1.6*3</f>
        <v>20.36</v>
      </c>
      <c r="CH82" s="51">
        <f>16.92-1.6*2-1.01</f>
        <v>12.710000000000003</v>
      </c>
      <c r="CI82" s="51">
        <f>9.92-1.6*3</f>
        <v>5.1199999999999992</v>
      </c>
      <c r="CJ82" s="51">
        <f>9.92-1.6*3</f>
        <v>5.1199999999999992</v>
      </c>
      <c r="CK82" s="57">
        <f t="shared" si="28"/>
        <v>147.49</v>
      </c>
      <c r="CL82" s="94"/>
      <c r="CM82" s="8"/>
      <c r="CN82" s="8"/>
      <c r="CO82" s="8"/>
      <c r="CP82" s="8"/>
      <c r="CQ82" s="94" t="s">
        <v>299</v>
      </c>
      <c r="CR82" s="148"/>
      <c r="CS82" s="147"/>
    </row>
    <row r="83" spans="1:99" s="2" customFormat="1" x14ac:dyDescent="0.25">
      <c r="A83" s="58" t="s">
        <v>182</v>
      </c>
      <c r="B83" s="59" t="s">
        <v>186</v>
      </c>
      <c r="C83" s="64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5"/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61"/>
      <c r="BE83" s="61"/>
      <c r="BF83" s="61"/>
      <c r="BG83" s="61"/>
      <c r="BH83" s="61"/>
      <c r="BI83" s="61"/>
      <c r="BJ83" s="61"/>
      <c r="BK83" s="61"/>
      <c r="BL83" s="61"/>
      <c r="BM83" s="61"/>
      <c r="BN83" s="61"/>
      <c r="BO83" s="61"/>
      <c r="BP83" s="61"/>
      <c r="BQ83" s="61"/>
      <c r="BR83" s="61"/>
      <c r="BS83" s="61"/>
      <c r="BT83" s="61"/>
      <c r="BU83" s="61"/>
      <c r="BV83" s="61"/>
      <c r="BW83" s="65"/>
      <c r="BX83" s="61"/>
      <c r="BY83" s="61"/>
      <c r="BZ83" s="61"/>
      <c r="CA83" s="61"/>
      <c r="CB83" s="61"/>
      <c r="CC83" s="61"/>
      <c r="CD83" s="61"/>
      <c r="CE83" s="61"/>
      <c r="CF83" s="61"/>
      <c r="CG83" s="61"/>
      <c r="CH83" s="61"/>
      <c r="CI83" s="61"/>
      <c r="CJ83" s="61"/>
      <c r="CK83" s="61"/>
      <c r="CL83" s="94"/>
      <c r="CM83" s="8"/>
      <c r="CN83" s="8"/>
      <c r="CO83" s="8"/>
      <c r="CP83" s="8"/>
      <c r="CQ83" s="8"/>
      <c r="CR83" s="148"/>
      <c r="CS83" s="147"/>
    </row>
    <row r="84" spans="1:99" s="2" customFormat="1" ht="30" x14ac:dyDescent="0.25">
      <c r="A84" s="92"/>
      <c r="B84" s="48" t="s">
        <v>300</v>
      </c>
      <c r="C84" s="51" t="s">
        <v>11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51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51"/>
      <c r="BW84" s="51"/>
      <c r="BX84" s="18"/>
      <c r="BY84" s="18"/>
      <c r="BZ84" s="18"/>
      <c r="CA84" s="18"/>
      <c r="CB84" s="18"/>
      <c r="CC84" s="77">
        <f>(0.3*1.38*14*5)+(0.3*1.38*15)</f>
        <v>35.19</v>
      </c>
      <c r="CD84" s="77"/>
      <c r="CE84" s="77">
        <f>(0.3*1.38*16)+(0.3*1.38*13*3)</f>
        <v>22.77</v>
      </c>
      <c r="CF84" s="77"/>
      <c r="CG84" s="77">
        <f>(0.3*1.38*14*5)+(0.3*1.38*15)</f>
        <v>35.19</v>
      </c>
      <c r="CH84" s="77"/>
      <c r="CI84" s="77"/>
      <c r="CJ84" s="77"/>
      <c r="CK84" s="57">
        <f>SUM(D84:CJ84)</f>
        <v>93.149999999999991</v>
      </c>
      <c r="CL84" s="94"/>
      <c r="CM84" s="8"/>
      <c r="CN84" s="8"/>
      <c r="CO84" s="8"/>
      <c r="CP84" s="8"/>
      <c r="CQ84" s="94" t="s">
        <v>301</v>
      </c>
      <c r="CR84" s="148"/>
      <c r="CS84" s="147"/>
      <c r="CT84" s="2">
        <f>(14*5+15)*2+(16+13*3)</f>
        <v>225</v>
      </c>
      <c r="CU84" s="2" t="s">
        <v>190</v>
      </c>
    </row>
    <row r="85" spans="1:99" s="2" customFormat="1" x14ac:dyDescent="0.25">
      <c r="A85" s="92"/>
      <c r="B85" s="48" t="s">
        <v>247</v>
      </c>
      <c r="C85" s="51" t="s">
        <v>11</v>
      </c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51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51"/>
      <c r="BW85" s="51"/>
      <c r="BX85" s="18"/>
      <c r="BY85" s="18"/>
      <c r="BZ85" s="18"/>
      <c r="CA85" s="18"/>
      <c r="CB85" s="18"/>
      <c r="CC85" s="77">
        <f>(0.15*1.38*14*5)+(0.15*1.38*15)</f>
        <v>17.594999999999999</v>
      </c>
      <c r="CD85" s="77"/>
      <c r="CE85" s="77">
        <f>(0.15*1.38*16)+(0.15*1.38*13*3)</f>
        <v>11.385</v>
      </c>
      <c r="CF85" s="77"/>
      <c r="CG85" s="77">
        <f>(0.15*1.38*14*5)+(0.15*1.38*15)</f>
        <v>17.594999999999999</v>
      </c>
      <c r="CH85" s="77"/>
      <c r="CI85" s="77"/>
      <c r="CJ85" s="77"/>
      <c r="CK85" s="57">
        <f>SUM(D85:CJ85)</f>
        <v>46.574999999999996</v>
      </c>
      <c r="CL85" s="94"/>
      <c r="CM85" s="8"/>
      <c r="CN85" s="8"/>
      <c r="CO85" s="8"/>
      <c r="CP85" s="8"/>
      <c r="CQ85" s="94" t="s">
        <v>299</v>
      </c>
      <c r="CR85" s="148"/>
      <c r="CS85" s="147"/>
    </row>
    <row r="86" spans="1:99" s="2" customFormat="1" x14ac:dyDescent="0.25">
      <c r="A86" s="14"/>
      <c r="B86" s="48" t="s">
        <v>302</v>
      </c>
      <c r="C86" s="51" t="s">
        <v>12</v>
      </c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51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51"/>
      <c r="BW86" s="51"/>
      <c r="BX86" s="18"/>
      <c r="BY86" s="18"/>
      <c r="BZ86" s="18"/>
      <c r="CA86" s="18"/>
      <c r="CB86" s="18"/>
      <c r="CC86" s="77">
        <f>(0.3+0.15)*14*5+(0.3+0.15)*15</f>
        <v>38.249999999999993</v>
      </c>
      <c r="CD86" s="77"/>
      <c r="CE86" s="77">
        <f>(0.3+0.15)*16*1+(0.3+0.15)*13*3</f>
        <v>24.749999999999996</v>
      </c>
      <c r="CF86" s="77"/>
      <c r="CG86" s="77">
        <f>(0.3+0.15)*14*5+(0.3+0.15)*15</f>
        <v>38.249999999999993</v>
      </c>
      <c r="CH86" s="77"/>
      <c r="CI86" s="77"/>
      <c r="CJ86" s="77"/>
      <c r="CK86" s="57">
        <f>SUM(D86:CJ86)</f>
        <v>101.24999999999997</v>
      </c>
      <c r="CL86" s="94"/>
      <c r="CM86" s="8"/>
      <c r="CN86" s="8"/>
      <c r="CO86" s="8"/>
      <c r="CP86" s="8"/>
      <c r="CQ86" s="94" t="s">
        <v>299</v>
      </c>
      <c r="CR86" s="148"/>
      <c r="CS86" s="147"/>
    </row>
    <row r="87" spans="1:99" s="2" customFormat="1" ht="30" x14ac:dyDescent="0.25">
      <c r="A87" s="58" t="s">
        <v>183</v>
      </c>
      <c r="B87" s="59" t="s">
        <v>272</v>
      </c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5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  <c r="BD87" s="61"/>
      <c r="BE87" s="61"/>
      <c r="BF87" s="61"/>
      <c r="BG87" s="61"/>
      <c r="BH87" s="61"/>
      <c r="BI87" s="61"/>
      <c r="BJ87" s="61"/>
      <c r="BK87" s="61"/>
      <c r="BL87" s="61"/>
      <c r="BM87" s="61"/>
      <c r="BN87" s="61"/>
      <c r="BO87" s="61"/>
      <c r="BP87" s="61"/>
      <c r="BQ87" s="61"/>
      <c r="BR87" s="61"/>
      <c r="BS87" s="61"/>
      <c r="BT87" s="61"/>
      <c r="BU87" s="61"/>
      <c r="BV87" s="61"/>
      <c r="BW87" s="65"/>
      <c r="BX87" s="61"/>
      <c r="BY87" s="61"/>
      <c r="BZ87" s="61"/>
      <c r="CA87" s="61"/>
      <c r="CB87" s="61"/>
      <c r="CC87" s="61"/>
      <c r="CD87" s="61"/>
      <c r="CE87" s="61"/>
      <c r="CF87" s="61"/>
      <c r="CG87" s="61"/>
      <c r="CH87" s="61"/>
      <c r="CI87" s="61"/>
      <c r="CJ87" s="61"/>
      <c r="CK87" s="61"/>
      <c r="CL87" s="94"/>
      <c r="CM87" s="8"/>
      <c r="CN87" s="8"/>
      <c r="CO87" s="8"/>
      <c r="CP87" s="8"/>
      <c r="CQ87" s="8"/>
      <c r="CR87" s="148"/>
      <c r="CS87" s="147"/>
    </row>
    <row r="88" spans="1:99" s="2" customFormat="1" ht="30" x14ac:dyDescent="0.25">
      <c r="A88" s="159" t="s">
        <v>273</v>
      </c>
      <c r="B88" s="48" t="s">
        <v>187</v>
      </c>
      <c r="C88" s="51" t="s">
        <v>11</v>
      </c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51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51"/>
      <c r="BW88" s="51"/>
      <c r="BX88" s="18"/>
      <c r="BY88" s="18"/>
      <c r="BZ88" s="18"/>
      <c r="CA88" s="18"/>
      <c r="CB88" s="18"/>
      <c r="CC88" s="51">
        <f>4.41+6.45*2</f>
        <v>17.310000000000002</v>
      </c>
      <c r="CD88" s="18"/>
      <c r="CE88" s="51">
        <f>7.77*2</f>
        <v>15.54</v>
      </c>
      <c r="CF88" s="18"/>
      <c r="CG88" s="51">
        <f>4.41+6.45*2</f>
        <v>17.310000000000002</v>
      </c>
      <c r="CH88" s="18"/>
      <c r="CI88" s="18"/>
      <c r="CJ88" s="18"/>
      <c r="CK88" s="57">
        <f>SUM(D88:CJ88)</f>
        <v>50.160000000000004</v>
      </c>
      <c r="CL88" s="94"/>
      <c r="CM88" s="8"/>
      <c r="CN88" s="8"/>
      <c r="CO88" s="8"/>
      <c r="CP88" s="8"/>
      <c r="CQ88" s="8"/>
      <c r="CR88" s="148"/>
      <c r="CS88" s="147"/>
    </row>
    <row r="89" spans="1:99" s="2" customFormat="1" x14ac:dyDescent="0.25">
      <c r="A89" s="159"/>
      <c r="B89" s="48" t="s">
        <v>248</v>
      </c>
      <c r="C89" s="51" t="s">
        <v>11</v>
      </c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51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51"/>
      <c r="BW89" s="51"/>
      <c r="BX89" s="18"/>
      <c r="BY89" s="18"/>
      <c r="BZ89" s="18"/>
      <c r="CA89" s="18"/>
      <c r="CB89" s="18"/>
      <c r="CC89" s="51">
        <f>CC88</f>
        <v>17.310000000000002</v>
      </c>
      <c r="CD89" s="18"/>
      <c r="CE89" s="51">
        <f>CE88</f>
        <v>15.54</v>
      </c>
      <c r="CF89" s="18"/>
      <c r="CG89" s="51">
        <f>CG88</f>
        <v>17.310000000000002</v>
      </c>
      <c r="CH89" s="18"/>
      <c r="CI89" s="18"/>
      <c r="CJ89" s="18"/>
      <c r="CK89" s="57">
        <f>SUM(D89:CJ89)</f>
        <v>50.160000000000004</v>
      </c>
      <c r="CL89" s="94"/>
      <c r="CM89" s="8"/>
      <c r="CN89" s="8"/>
      <c r="CO89" s="8"/>
      <c r="CP89" s="8"/>
      <c r="CQ89" s="94" t="s">
        <v>298</v>
      </c>
      <c r="CR89" s="148"/>
      <c r="CS89" s="147"/>
    </row>
    <row r="90" spans="1:99" s="2" customFormat="1" x14ac:dyDescent="0.25">
      <c r="A90" s="14"/>
      <c r="B90" s="48" t="s">
        <v>302</v>
      </c>
      <c r="C90" s="51" t="s">
        <v>12</v>
      </c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51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51"/>
      <c r="BW90" s="51"/>
      <c r="BX90" s="18"/>
      <c r="BY90" s="18"/>
      <c r="BZ90" s="18"/>
      <c r="CA90" s="18"/>
      <c r="CB90" s="18"/>
      <c r="CC90" s="51">
        <f>(9.91-3.38)+(11.11-3.38)*2</f>
        <v>21.99</v>
      </c>
      <c r="CD90" s="18"/>
      <c r="CE90" s="51">
        <f>(15.23-3.4)*2</f>
        <v>23.66</v>
      </c>
      <c r="CF90" s="18"/>
      <c r="CG90" s="51">
        <f>(9.91-3.38)+(11.11-3.38)*2</f>
        <v>21.99</v>
      </c>
      <c r="CH90" s="18"/>
      <c r="CI90" s="18"/>
      <c r="CJ90" s="18"/>
      <c r="CK90" s="57">
        <f>SUM(D90:CJ90)</f>
        <v>67.64</v>
      </c>
      <c r="CL90" s="94"/>
      <c r="CM90" s="8"/>
      <c r="CN90" s="8"/>
      <c r="CO90" s="8"/>
      <c r="CP90" s="8"/>
      <c r="CQ90" s="94" t="s">
        <v>299</v>
      </c>
      <c r="CR90" s="148"/>
      <c r="CS90" s="147"/>
    </row>
    <row r="91" spans="1:99" s="2" customFormat="1" ht="30" x14ac:dyDescent="0.25">
      <c r="A91" s="58" t="s">
        <v>184</v>
      </c>
      <c r="B91" s="59" t="s">
        <v>192</v>
      </c>
      <c r="C91" s="64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5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  <c r="BM91" s="61"/>
      <c r="BN91" s="61"/>
      <c r="BO91" s="61"/>
      <c r="BP91" s="61"/>
      <c r="BQ91" s="61"/>
      <c r="BR91" s="61"/>
      <c r="BS91" s="61"/>
      <c r="BT91" s="61"/>
      <c r="BU91" s="61"/>
      <c r="BV91" s="65"/>
      <c r="BW91" s="65"/>
      <c r="BX91" s="61"/>
      <c r="BY91" s="61"/>
      <c r="BZ91" s="61"/>
      <c r="CA91" s="61"/>
      <c r="CB91" s="61"/>
      <c r="CC91" s="61"/>
      <c r="CD91" s="61"/>
      <c r="CE91" s="65"/>
      <c r="CF91" s="61"/>
      <c r="CG91" s="61"/>
      <c r="CH91" s="61"/>
      <c r="CI91" s="61"/>
      <c r="CJ91" s="61"/>
      <c r="CK91" s="61"/>
      <c r="CL91" s="94"/>
      <c r="CM91" s="8"/>
      <c r="CN91" s="8"/>
      <c r="CO91" s="8"/>
      <c r="CP91" s="8"/>
      <c r="CQ91" s="8"/>
      <c r="CR91" s="148"/>
      <c r="CS91" s="147"/>
    </row>
    <row r="92" spans="1:99" s="2" customFormat="1" ht="30" x14ac:dyDescent="0.25">
      <c r="A92" s="161" t="s">
        <v>271</v>
      </c>
      <c r="B92" s="48" t="s">
        <v>173</v>
      </c>
      <c r="C92" s="51" t="s">
        <v>11</v>
      </c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51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51"/>
      <c r="BW92" s="51"/>
      <c r="BX92" s="18"/>
      <c r="BY92" s="18"/>
      <c r="BZ92" s="18"/>
      <c r="CA92" s="18"/>
      <c r="CB92" s="18"/>
      <c r="CC92" s="51">
        <f>9.92*2+8.21</f>
        <v>28.05</v>
      </c>
      <c r="CD92" s="51"/>
      <c r="CE92" s="51">
        <f>23.22*2</f>
        <v>46.44</v>
      </c>
      <c r="CF92" s="51"/>
      <c r="CG92" s="51">
        <f>9.92*2+8.21</f>
        <v>28.05</v>
      </c>
      <c r="CH92" s="18"/>
      <c r="CI92" s="18"/>
      <c r="CJ92" s="18"/>
      <c r="CK92" s="57">
        <f>SUM(D92:CJ92)</f>
        <v>102.53999999999999</v>
      </c>
      <c r="CL92" s="94"/>
      <c r="CM92" s="8"/>
      <c r="CN92" s="8"/>
      <c r="CO92" s="8"/>
      <c r="CP92" s="8"/>
      <c r="CQ92" s="8"/>
      <c r="CR92" s="148"/>
      <c r="CS92" s="147"/>
    </row>
    <row r="93" spans="1:99" s="2" customFormat="1" ht="30" x14ac:dyDescent="0.25">
      <c r="A93" s="161"/>
      <c r="B93" s="48" t="s">
        <v>193</v>
      </c>
      <c r="C93" s="51" t="s">
        <v>11</v>
      </c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51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51"/>
      <c r="BW93" s="51"/>
      <c r="BX93" s="18"/>
      <c r="BY93" s="18"/>
      <c r="BZ93" s="18"/>
      <c r="CA93" s="18"/>
      <c r="CB93" s="18"/>
      <c r="CC93" s="51">
        <f>CC92</f>
        <v>28.05</v>
      </c>
      <c r="CD93" s="51"/>
      <c r="CE93" s="51">
        <f>CE92</f>
        <v>46.44</v>
      </c>
      <c r="CF93" s="51"/>
      <c r="CG93" s="51">
        <f>CG92</f>
        <v>28.05</v>
      </c>
      <c r="CH93" s="18"/>
      <c r="CI93" s="18"/>
      <c r="CJ93" s="18"/>
      <c r="CK93" s="57">
        <f>SUM(D93:CJ93)</f>
        <v>102.53999999999999</v>
      </c>
      <c r="CL93" s="94"/>
      <c r="CM93" s="8"/>
      <c r="CN93" s="8"/>
      <c r="CO93" s="8"/>
      <c r="CP93" s="8"/>
      <c r="CQ93" s="8"/>
      <c r="CR93" s="148"/>
      <c r="CS93" s="147"/>
    </row>
    <row r="94" spans="1:99" s="2" customFormat="1" x14ac:dyDescent="0.25">
      <c r="A94" s="161"/>
      <c r="B94" s="48" t="s">
        <v>248</v>
      </c>
      <c r="C94" s="51" t="s">
        <v>11</v>
      </c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51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51"/>
      <c r="BW94" s="51"/>
      <c r="BX94" s="18"/>
      <c r="BY94" s="18"/>
      <c r="BZ94" s="18"/>
      <c r="CA94" s="18"/>
      <c r="CB94" s="18"/>
      <c r="CC94" s="51">
        <f>CC93</f>
        <v>28.05</v>
      </c>
      <c r="CD94" s="51"/>
      <c r="CE94" s="51">
        <f>CE93</f>
        <v>46.44</v>
      </c>
      <c r="CF94" s="51"/>
      <c r="CG94" s="51">
        <f>CG93</f>
        <v>28.05</v>
      </c>
      <c r="CH94" s="18"/>
      <c r="CI94" s="18"/>
      <c r="CJ94" s="18"/>
      <c r="CK94" s="57">
        <f>SUM(D94:CJ94)</f>
        <v>102.53999999999999</v>
      </c>
      <c r="CL94" s="94"/>
      <c r="CM94" s="8"/>
      <c r="CN94" s="8"/>
      <c r="CO94" s="8"/>
      <c r="CP94" s="8"/>
      <c r="CQ94" s="94" t="s">
        <v>298</v>
      </c>
      <c r="CR94" s="148"/>
      <c r="CS94" s="147"/>
    </row>
    <row r="95" spans="1:99" s="2" customFormat="1" x14ac:dyDescent="0.25">
      <c r="A95" s="14"/>
      <c r="B95" s="48" t="s">
        <v>297</v>
      </c>
      <c r="C95" s="51" t="s">
        <v>12</v>
      </c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51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51"/>
      <c r="BW95" s="51"/>
      <c r="BX95" s="18"/>
      <c r="BY95" s="18"/>
      <c r="BZ95" s="18"/>
      <c r="CA95" s="18"/>
      <c r="CB95" s="18"/>
      <c r="CC95" s="51">
        <f>12.88-1.6-1.6-3.38</f>
        <v>6.3000000000000016</v>
      </c>
      <c r="CD95" s="51"/>
      <c r="CE95" s="51">
        <f>(22.97-(1.6*3+3.4))*2</f>
        <v>29.539999999999996</v>
      </c>
      <c r="CF95" s="51"/>
      <c r="CG95" s="51">
        <f>12.88-1.6-1.6-3.38</f>
        <v>6.3000000000000016</v>
      </c>
      <c r="CH95" s="18"/>
      <c r="CI95" s="18"/>
      <c r="CJ95" s="18"/>
      <c r="CK95" s="57">
        <f>SUM(D95:CJ95)</f>
        <v>42.14</v>
      </c>
      <c r="CL95" s="94"/>
      <c r="CM95" s="8"/>
      <c r="CN95" s="8"/>
      <c r="CO95" s="8"/>
      <c r="CP95" s="8"/>
      <c r="CQ95" s="94" t="s">
        <v>299</v>
      </c>
      <c r="CR95" s="148"/>
      <c r="CS95" s="147"/>
    </row>
    <row r="96" spans="1:99" x14ac:dyDescent="0.25">
      <c r="A96" s="79"/>
      <c r="B96" s="80" t="s">
        <v>198</v>
      </c>
      <c r="C96" s="81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2"/>
      <c r="AL96" s="82"/>
      <c r="AM96" s="82"/>
      <c r="AN96" s="82"/>
      <c r="AO96" s="82"/>
      <c r="AP96" s="82"/>
      <c r="AQ96" s="82"/>
      <c r="AR96" s="82"/>
      <c r="AS96" s="82"/>
      <c r="AT96" s="82"/>
      <c r="AU96" s="82"/>
      <c r="AV96" s="82"/>
      <c r="AW96" s="82"/>
      <c r="AX96" s="82"/>
      <c r="AY96" s="82"/>
      <c r="AZ96" s="82"/>
      <c r="BA96" s="82"/>
      <c r="BB96" s="82"/>
      <c r="BC96" s="82"/>
      <c r="BD96" s="82"/>
      <c r="BE96" s="82"/>
      <c r="BF96" s="82"/>
      <c r="BG96" s="82"/>
      <c r="BH96" s="82"/>
      <c r="BI96" s="82"/>
      <c r="BJ96" s="82"/>
      <c r="BK96" s="82"/>
      <c r="BL96" s="82"/>
      <c r="BM96" s="82"/>
      <c r="BN96" s="82"/>
      <c r="BO96" s="82"/>
      <c r="BP96" s="82"/>
      <c r="BQ96" s="82"/>
      <c r="BR96" s="82"/>
      <c r="BS96" s="82"/>
      <c r="BT96" s="82"/>
      <c r="BU96" s="82"/>
      <c r="BV96" s="82"/>
      <c r="BW96" s="82"/>
      <c r="BX96" s="82"/>
      <c r="BY96" s="82"/>
      <c r="BZ96" s="82"/>
      <c r="CA96" s="82"/>
      <c r="CB96" s="82"/>
      <c r="CC96" s="82"/>
      <c r="CD96" s="82"/>
      <c r="CE96" s="82"/>
      <c r="CF96" s="82"/>
      <c r="CG96" s="82"/>
      <c r="CH96" s="82"/>
      <c r="CI96" s="82"/>
      <c r="CJ96" s="82"/>
      <c r="CK96" s="82"/>
      <c r="CL96" s="94"/>
      <c r="CM96" s="13"/>
      <c r="CN96" s="13"/>
      <c r="CO96" s="13"/>
      <c r="CP96" s="13"/>
      <c r="CQ96" s="13"/>
      <c r="CR96" s="146"/>
      <c r="CS96" s="149"/>
    </row>
    <row r="97" spans="1:97" x14ac:dyDescent="0.25">
      <c r="A97" s="79" t="s">
        <v>185</v>
      </c>
      <c r="B97" s="80" t="s">
        <v>195</v>
      </c>
      <c r="C97" s="81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82"/>
      <c r="AL97" s="82"/>
      <c r="AM97" s="82"/>
      <c r="AN97" s="82"/>
      <c r="AO97" s="82"/>
      <c r="AP97" s="82"/>
      <c r="AQ97" s="82"/>
      <c r="AR97" s="82"/>
      <c r="AS97" s="82"/>
      <c r="AT97" s="82"/>
      <c r="AU97" s="82"/>
      <c r="AV97" s="82"/>
      <c r="AW97" s="82"/>
      <c r="AX97" s="82"/>
      <c r="AY97" s="82"/>
      <c r="AZ97" s="82"/>
      <c r="BA97" s="82"/>
      <c r="BB97" s="82"/>
      <c r="BC97" s="82"/>
      <c r="BD97" s="82"/>
      <c r="BE97" s="82"/>
      <c r="BF97" s="82"/>
      <c r="BG97" s="82"/>
      <c r="BH97" s="82"/>
      <c r="BI97" s="82"/>
      <c r="BJ97" s="82"/>
      <c r="BK97" s="82"/>
      <c r="BL97" s="82"/>
      <c r="BM97" s="82"/>
      <c r="BN97" s="82"/>
      <c r="BO97" s="82"/>
      <c r="BP97" s="82"/>
      <c r="BQ97" s="82"/>
      <c r="BR97" s="82"/>
      <c r="BS97" s="82"/>
      <c r="BT97" s="82"/>
      <c r="BU97" s="82"/>
      <c r="BV97" s="82"/>
      <c r="BW97" s="82"/>
      <c r="BX97" s="82"/>
      <c r="BY97" s="82"/>
      <c r="BZ97" s="82"/>
      <c r="CA97" s="82"/>
      <c r="CB97" s="82"/>
      <c r="CC97" s="82"/>
      <c r="CD97" s="82"/>
      <c r="CE97" s="82"/>
      <c r="CF97" s="82"/>
      <c r="CG97" s="82"/>
      <c r="CH97" s="82"/>
      <c r="CI97" s="82"/>
      <c r="CJ97" s="82"/>
      <c r="CK97" s="82"/>
      <c r="CL97" s="94"/>
      <c r="CM97" s="13"/>
      <c r="CN97" s="13"/>
      <c r="CO97" s="13"/>
      <c r="CP97" s="13"/>
      <c r="CQ97" s="13"/>
      <c r="CR97" s="146"/>
      <c r="CS97" s="149"/>
    </row>
    <row r="98" spans="1:97" x14ac:dyDescent="0.25">
      <c r="A98" s="85"/>
      <c r="B98" s="84" t="s">
        <v>194</v>
      </c>
      <c r="C98" s="86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>
        <v>6.57</v>
      </c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  <c r="BY98" s="33"/>
      <c r="BZ98" s="33"/>
      <c r="CA98" s="33"/>
      <c r="CB98" s="33"/>
      <c r="CC98" s="33"/>
      <c r="CD98" s="33"/>
      <c r="CE98" s="33"/>
      <c r="CF98" s="33"/>
      <c r="CG98" s="33"/>
      <c r="CH98" s="33"/>
      <c r="CI98" s="33">
        <v>5.29</v>
      </c>
      <c r="CJ98" s="33"/>
      <c r="CK98" s="57">
        <f>SUM(D98:CJ98)</f>
        <v>11.86</v>
      </c>
      <c r="CL98" s="94"/>
      <c r="CM98" s="13"/>
      <c r="CN98" s="13"/>
      <c r="CO98" s="13"/>
      <c r="CP98" s="13"/>
      <c r="CQ98" s="13"/>
      <c r="CR98" s="146"/>
      <c r="CS98" s="149"/>
    </row>
    <row r="99" spans="1:97" ht="86.25" customHeight="1" x14ac:dyDescent="0.25">
      <c r="A99" s="87"/>
      <c r="B99" s="188" t="s">
        <v>304</v>
      </c>
      <c r="C99" s="86" t="s">
        <v>11</v>
      </c>
      <c r="D99" s="33">
        <v>45.68</v>
      </c>
      <c r="E99" s="33">
        <v>52.57</v>
      </c>
      <c r="F99" s="33">
        <f>7.82</f>
        <v>7.82</v>
      </c>
      <c r="G99" s="33"/>
      <c r="H99" s="33">
        <f>24.77</f>
        <v>24.77</v>
      </c>
      <c r="I99" s="33">
        <v>51.13</v>
      </c>
      <c r="J99" s="33">
        <v>53.22</v>
      </c>
      <c r="K99" s="33">
        <v>6.17</v>
      </c>
      <c r="L99" s="33"/>
      <c r="M99" s="33">
        <v>25.08</v>
      </c>
      <c r="N99" s="33">
        <v>51.13</v>
      </c>
      <c r="O99" s="33">
        <v>53.64</v>
      </c>
      <c r="P99" s="33">
        <v>5.78</v>
      </c>
      <c r="Q99" s="33"/>
      <c r="R99" s="33">
        <v>25.25</v>
      </c>
      <c r="S99" s="33">
        <v>45.68</v>
      </c>
      <c r="T99" s="33">
        <v>52.57</v>
      </c>
      <c r="U99" s="33">
        <v>7.38</v>
      </c>
      <c r="V99" s="33"/>
      <c r="W99" s="33">
        <v>25.31</v>
      </c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>
        <v>7.43</v>
      </c>
      <c r="AK99" s="33"/>
      <c r="AL99" s="33">
        <v>6.67</v>
      </c>
      <c r="AM99" s="33"/>
      <c r="AN99" s="33">
        <f>12.18</f>
        <v>12.18</v>
      </c>
      <c r="AO99" s="33"/>
      <c r="AP99" s="33"/>
      <c r="AQ99" s="33"/>
      <c r="AR99" s="33"/>
      <c r="AS99" s="33">
        <v>6.57</v>
      </c>
      <c r="AT99" s="33"/>
      <c r="AU99" s="33"/>
      <c r="AV99" s="33"/>
      <c r="AW99" s="33"/>
      <c r="AX99" s="33"/>
      <c r="AY99" s="33"/>
      <c r="AZ99" s="33"/>
      <c r="BA99" s="33">
        <v>9.33</v>
      </c>
      <c r="BB99" s="33">
        <v>6.19</v>
      </c>
      <c r="BC99" s="33">
        <v>2.69</v>
      </c>
      <c r="BD99" s="33"/>
      <c r="BE99" s="33"/>
      <c r="BF99" s="33"/>
      <c r="BG99" s="33">
        <v>29.21</v>
      </c>
      <c r="BH99" s="33"/>
      <c r="BI99" s="33"/>
      <c r="BJ99" s="33"/>
      <c r="BK99" s="33">
        <v>4.1500000000000004</v>
      </c>
      <c r="BL99" s="33"/>
      <c r="BM99" s="33"/>
      <c r="BN99" s="33"/>
      <c r="BO99" s="33">
        <v>16.61</v>
      </c>
      <c r="BP99" s="33">
        <v>2.8</v>
      </c>
      <c r="BQ99" s="33"/>
      <c r="BR99" s="33"/>
      <c r="BS99" s="33">
        <v>3.33</v>
      </c>
      <c r="BT99" s="33">
        <v>51.88</v>
      </c>
      <c r="BU99" s="33">
        <v>70.73</v>
      </c>
      <c r="BV99" s="33">
        <v>3.91</v>
      </c>
      <c r="BW99" s="33"/>
      <c r="BX99" s="33">
        <v>5.96</v>
      </c>
      <c r="BY99" s="33">
        <v>5.98</v>
      </c>
      <c r="BZ99" s="33">
        <v>5.31</v>
      </c>
      <c r="CA99" s="33">
        <v>2.5</v>
      </c>
      <c r="CB99" s="33"/>
      <c r="CC99" s="88"/>
      <c r="CD99" s="33"/>
      <c r="CE99" s="33"/>
      <c r="CF99" s="33"/>
      <c r="CG99" s="33"/>
      <c r="CH99" s="33"/>
      <c r="CI99" s="33">
        <v>5.29</v>
      </c>
      <c r="CJ99" s="33"/>
      <c r="CK99" s="57">
        <f>SUM(D99:CJ99)</f>
        <v>791.9</v>
      </c>
      <c r="CL99" s="94"/>
      <c r="CM99" s="13"/>
      <c r="CN99" s="13"/>
      <c r="CO99" s="13"/>
      <c r="CP99" s="13"/>
      <c r="CQ99" s="94" t="s">
        <v>309</v>
      </c>
      <c r="CR99" s="146"/>
      <c r="CS99" s="149"/>
    </row>
    <row r="100" spans="1:97" ht="36" customHeight="1" x14ac:dyDescent="0.25">
      <c r="A100" s="87"/>
      <c r="B100" s="189" t="s">
        <v>303</v>
      </c>
      <c r="C100" s="86"/>
      <c r="D100" s="33"/>
      <c r="E100" s="33"/>
      <c r="F100" s="33"/>
      <c r="G100" s="33">
        <v>16.03</v>
      </c>
      <c r="H100" s="33"/>
      <c r="I100" s="33"/>
      <c r="J100" s="33"/>
      <c r="K100" s="33"/>
      <c r="L100" s="33">
        <v>14.35</v>
      </c>
      <c r="M100" s="33"/>
      <c r="N100" s="33"/>
      <c r="O100" s="33"/>
      <c r="P100" s="33"/>
      <c r="Q100" s="33">
        <v>14.35</v>
      </c>
      <c r="R100" s="33"/>
      <c r="S100" s="33"/>
      <c r="T100" s="33"/>
      <c r="U100" s="33"/>
      <c r="V100" s="33">
        <v>16.3</v>
      </c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  <c r="BZ100" s="33"/>
      <c r="CA100" s="33"/>
      <c r="CB100" s="33"/>
      <c r="CC100" s="88"/>
      <c r="CD100" s="33"/>
      <c r="CE100" s="33"/>
      <c r="CF100" s="33"/>
      <c r="CG100" s="33"/>
      <c r="CH100" s="33"/>
      <c r="CI100" s="33"/>
      <c r="CJ100" s="33"/>
      <c r="CK100" s="57"/>
      <c r="CL100" s="94"/>
      <c r="CM100" s="13"/>
      <c r="CN100" s="13"/>
      <c r="CO100" s="13"/>
      <c r="CP100" s="13"/>
      <c r="CQ100" s="94" t="s">
        <v>309</v>
      </c>
      <c r="CR100" s="146"/>
      <c r="CS100" s="149"/>
    </row>
    <row r="101" spans="1:97" x14ac:dyDescent="0.25">
      <c r="A101" s="79" t="s">
        <v>191</v>
      </c>
      <c r="B101" s="80" t="s">
        <v>196</v>
      </c>
      <c r="C101" s="81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82"/>
      <c r="AL101" s="82"/>
      <c r="AM101" s="82"/>
      <c r="AN101" s="82"/>
      <c r="AO101" s="82"/>
      <c r="AP101" s="82"/>
      <c r="AQ101" s="82"/>
      <c r="AR101" s="82"/>
      <c r="AS101" s="82"/>
      <c r="AT101" s="82"/>
      <c r="AU101" s="82"/>
      <c r="AV101" s="82"/>
      <c r="AW101" s="82"/>
      <c r="AX101" s="82"/>
      <c r="AY101" s="82"/>
      <c r="AZ101" s="82"/>
      <c r="BA101" s="82"/>
      <c r="BB101" s="82"/>
      <c r="BC101" s="82"/>
      <c r="BD101" s="82"/>
      <c r="BE101" s="82"/>
      <c r="BF101" s="82"/>
      <c r="BG101" s="82"/>
      <c r="BH101" s="82"/>
      <c r="BI101" s="82"/>
      <c r="BJ101" s="82"/>
      <c r="BK101" s="82"/>
      <c r="BL101" s="82"/>
      <c r="BM101" s="82"/>
      <c r="BN101" s="82"/>
      <c r="BO101" s="82"/>
      <c r="BP101" s="82"/>
      <c r="BQ101" s="82"/>
      <c r="BR101" s="82"/>
      <c r="BS101" s="82"/>
      <c r="BT101" s="82"/>
      <c r="BU101" s="82"/>
      <c r="BV101" s="82"/>
      <c r="BW101" s="82"/>
      <c r="BX101" s="82"/>
      <c r="BY101" s="82"/>
      <c r="BZ101" s="82"/>
      <c r="CA101" s="82"/>
      <c r="CB101" s="82"/>
      <c r="CC101" s="82"/>
      <c r="CD101" s="82"/>
      <c r="CE101" s="82"/>
      <c r="CF101" s="82"/>
      <c r="CG101" s="82"/>
      <c r="CH101" s="82"/>
      <c r="CI101" s="82"/>
      <c r="CJ101" s="82"/>
      <c r="CK101" s="82"/>
      <c r="CL101" s="94"/>
      <c r="CM101" s="13"/>
      <c r="CN101" s="13"/>
      <c r="CO101" s="13"/>
      <c r="CP101" s="13"/>
      <c r="CQ101" s="13"/>
      <c r="CR101" s="146"/>
      <c r="CS101" s="149"/>
    </row>
    <row r="102" spans="1:97" ht="72" customHeight="1" x14ac:dyDescent="0.25">
      <c r="A102" s="92"/>
      <c r="B102" s="187" t="s">
        <v>308</v>
      </c>
      <c r="C102" s="93" t="s">
        <v>11</v>
      </c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>
        <v>7.52</v>
      </c>
      <c r="AP102" s="10">
        <v>6.5</v>
      </c>
      <c r="AQ102" s="10">
        <v>10.24</v>
      </c>
      <c r="AR102" s="10">
        <v>12.24</v>
      </c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8"/>
      <c r="CD102" s="10"/>
      <c r="CE102" s="10"/>
      <c r="CF102" s="10"/>
      <c r="CG102" s="10"/>
      <c r="CH102" s="10"/>
      <c r="CI102" s="10"/>
      <c r="CJ102" s="10"/>
      <c r="CK102" s="57">
        <f>SUM(D102:CJ102)</f>
        <v>36.5</v>
      </c>
      <c r="CL102" s="94"/>
      <c r="CM102" s="13"/>
      <c r="CN102" s="13"/>
      <c r="CO102" s="13"/>
      <c r="CP102" s="13"/>
      <c r="CQ102" s="94" t="s">
        <v>309</v>
      </c>
      <c r="CR102" s="146"/>
      <c r="CS102" s="149"/>
    </row>
    <row r="103" spans="1:97" ht="63" x14ac:dyDescent="0.25">
      <c r="A103" s="79" t="s">
        <v>257</v>
      </c>
      <c r="B103" s="126" t="s">
        <v>199</v>
      </c>
      <c r="C103" s="81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2"/>
      <c r="AL103" s="82"/>
      <c r="AM103" s="82"/>
      <c r="AN103" s="82"/>
      <c r="AO103" s="82"/>
      <c r="AP103" s="82"/>
      <c r="AQ103" s="82"/>
      <c r="AR103" s="82"/>
      <c r="AS103" s="82"/>
      <c r="AT103" s="82"/>
      <c r="AU103" s="82"/>
      <c r="AV103" s="82"/>
      <c r="AW103" s="82"/>
      <c r="AX103" s="82"/>
      <c r="AY103" s="82"/>
      <c r="AZ103" s="82"/>
      <c r="BA103" s="82"/>
      <c r="BB103" s="82"/>
      <c r="BC103" s="82"/>
      <c r="BD103" s="82"/>
      <c r="BE103" s="82"/>
      <c r="BF103" s="82"/>
      <c r="BG103" s="82"/>
      <c r="BH103" s="82"/>
      <c r="BI103" s="82"/>
      <c r="BJ103" s="82"/>
      <c r="BK103" s="82"/>
      <c r="BL103" s="82"/>
      <c r="BM103" s="82"/>
      <c r="BN103" s="82"/>
      <c r="BO103" s="82"/>
      <c r="BP103" s="82"/>
      <c r="BQ103" s="82"/>
      <c r="BR103" s="82"/>
      <c r="BS103" s="82"/>
      <c r="BT103" s="82"/>
      <c r="BU103" s="82"/>
      <c r="BV103" s="82"/>
      <c r="BW103" s="82"/>
      <c r="BX103" s="82"/>
      <c r="BY103" s="82"/>
      <c r="BZ103" s="82"/>
      <c r="CA103" s="82"/>
      <c r="CB103" s="82"/>
      <c r="CC103" s="82"/>
      <c r="CD103" s="82"/>
      <c r="CE103" s="82"/>
      <c r="CF103" s="82"/>
      <c r="CG103" s="82"/>
      <c r="CH103" s="82"/>
      <c r="CI103" s="82"/>
      <c r="CJ103" s="82"/>
      <c r="CK103" s="82"/>
      <c r="CL103" s="94"/>
      <c r="CM103" s="13"/>
      <c r="CN103" s="13"/>
      <c r="CO103" s="13"/>
      <c r="CP103" s="13"/>
      <c r="CQ103" s="13"/>
      <c r="CR103" s="146"/>
      <c r="CS103" s="149"/>
    </row>
    <row r="104" spans="1:97" s="3" customFormat="1" ht="126.75" customHeight="1" x14ac:dyDescent="0.25">
      <c r="A104" s="92"/>
      <c r="B104" s="187" t="s">
        <v>307</v>
      </c>
      <c r="C104" s="6" t="s">
        <v>11</v>
      </c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54">
        <v>83.84</v>
      </c>
      <c r="Y104" s="54">
        <v>26.78</v>
      </c>
      <c r="Z104" s="54">
        <v>5.34</v>
      </c>
      <c r="AA104" s="54">
        <v>4.46</v>
      </c>
      <c r="AB104" s="54">
        <v>11.95</v>
      </c>
      <c r="AC104" s="54">
        <v>5.29</v>
      </c>
      <c r="AD104" s="54">
        <v>4.18</v>
      </c>
      <c r="AE104" s="54">
        <v>9.7799999999999994</v>
      </c>
      <c r="AF104" s="54">
        <v>6.25</v>
      </c>
      <c r="AG104" s="54">
        <v>10.68</v>
      </c>
      <c r="AH104" s="54">
        <v>5.16</v>
      </c>
      <c r="AI104" s="54">
        <v>3.44</v>
      </c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>
        <v>1.69</v>
      </c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54">
        <v>2.09</v>
      </c>
      <c r="CC104" s="10"/>
      <c r="CD104" s="10"/>
      <c r="CE104" s="10"/>
      <c r="CF104" s="10"/>
      <c r="CG104" s="10"/>
      <c r="CH104" s="10"/>
      <c r="CI104" s="10"/>
      <c r="CJ104" s="10"/>
      <c r="CK104" s="57">
        <f>SUM(D104:CJ104)</f>
        <v>180.93</v>
      </c>
      <c r="CL104" s="94"/>
      <c r="CM104" s="13"/>
      <c r="CN104" s="13"/>
      <c r="CO104" s="13"/>
      <c r="CP104" s="13"/>
      <c r="CQ104" s="94" t="s">
        <v>309</v>
      </c>
      <c r="CR104" s="146"/>
      <c r="CS104" s="154"/>
    </row>
    <row r="105" spans="1:97" s="3" customFormat="1" ht="31.5" x14ac:dyDescent="0.25">
      <c r="A105" s="79" t="s">
        <v>258</v>
      </c>
      <c r="B105" s="80" t="s">
        <v>277</v>
      </c>
      <c r="C105" s="81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2"/>
      <c r="AL105" s="82"/>
      <c r="AM105" s="82"/>
      <c r="AN105" s="82"/>
      <c r="AO105" s="82"/>
      <c r="AP105" s="82"/>
      <c r="AQ105" s="82"/>
      <c r="AR105" s="82"/>
      <c r="AS105" s="82"/>
      <c r="AT105" s="82"/>
      <c r="AU105" s="82"/>
      <c r="AV105" s="82"/>
      <c r="AW105" s="82"/>
      <c r="AX105" s="82"/>
      <c r="AY105" s="82"/>
      <c r="AZ105" s="82"/>
      <c r="BA105" s="82"/>
      <c r="BB105" s="82"/>
      <c r="BC105" s="82"/>
      <c r="BD105" s="82"/>
      <c r="BE105" s="82"/>
      <c r="BF105" s="82"/>
      <c r="BG105" s="82"/>
      <c r="BH105" s="82"/>
      <c r="BI105" s="82"/>
      <c r="BJ105" s="82"/>
      <c r="BK105" s="82"/>
      <c r="BL105" s="82"/>
      <c r="BM105" s="82"/>
      <c r="BN105" s="82"/>
      <c r="BO105" s="82"/>
      <c r="BP105" s="82"/>
      <c r="BQ105" s="82"/>
      <c r="BR105" s="82"/>
      <c r="BS105" s="82"/>
      <c r="BT105" s="82"/>
      <c r="BU105" s="82"/>
      <c r="BV105" s="82"/>
      <c r="BW105" s="82"/>
      <c r="BX105" s="82"/>
      <c r="BY105" s="82"/>
      <c r="BZ105" s="82"/>
      <c r="CA105" s="82"/>
      <c r="CB105" s="82"/>
      <c r="CC105" s="82"/>
      <c r="CD105" s="82"/>
      <c r="CE105" s="82"/>
      <c r="CF105" s="82"/>
      <c r="CG105" s="82"/>
      <c r="CH105" s="82"/>
      <c r="CI105" s="82"/>
      <c r="CJ105" s="82"/>
      <c r="CK105" s="82"/>
      <c r="CL105" s="94"/>
      <c r="CM105" s="13"/>
      <c r="CN105" s="13"/>
      <c r="CO105" s="13"/>
      <c r="CP105" s="13"/>
      <c r="CQ105" s="13"/>
      <c r="CR105" s="146"/>
      <c r="CS105" s="154"/>
    </row>
    <row r="106" spans="1:97" s="3" customFormat="1" ht="74.25" customHeight="1" x14ac:dyDescent="0.25">
      <c r="A106" s="15" t="s">
        <v>200</v>
      </c>
      <c r="B106" s="25" t="s">
        <v>310</v>
      </c>
      <c r="C106" s="6" t="s">
        <v>11</v>
      </c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77">
        <f>(1.07+1.18*4+1.21)+(4.23*1.46+4.68*1.46*4+5.01*1.46)+29.95</f>
        <v>77.771599999999992</v>
      </c>
      <c r="CD106" s="51"/>
      <c r="CE106" s="51">
        <f>(1.21+1.18*3)+(4.95*1.46+3.95*1.46*3)+37.37</f>
        <v>66.647999999999996</v>
      </c>
      <c r="CF106" s="51"/>
      <c r="CG106" s="77">
        <f>(1.07+1.18*4+1.21)+(4.23*1.46+4.68*1.46*4+5.01*1.46)+29.95</f>
        <v>77.771599999999992</v>
      </c>
      <c r="CH106" s="10"/>
      <c r="CI106" s="10"/>
      <c r="CJ106" s="10"/>
      <c r="CK106" s="190">
        <f>SUM(D106:CJ106)</f>
        <v>222.19119999999998</v>
      </c>
      <c r="CL106" s="94"/>
      <c r="CM106" s="13"/>
      <c r="CN106" s="13"/>
      <c r="CO106" s="13"/>
      <c r="CP106" s="13"/>
      <c r="CQ106" s="13"/>
      <c r="CR106" s="146"/>
      <c r="CS106" s="154"/>
    </row>
    <row r="107" spans="1:97" s="3" customFormat="1" ht="77.25" customHeight="1" x14ac:dyDescent="0.25">
      <c r="A107" s="15" t="s">
        <v>238</v>
      </c>
      <c r="B107" s="157" t="s">
        <v>311</v>
      </c>
      <c r="C107" s="7" t="s">
        <v>11</v>
      </c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>
        <v>13.8</v>
      </c>
      <c r="AL107" s="10"/>
      <c r="AM107" s="10">
        <v>14.35</v>
      </c>
      <c r="AN107" s="10"/>
      <c r="AO107" s="10"/>
      <c r="AP107" s="10"/>
      <c r="AQ107" s="10"/>
      <c r="AR107" s="10"/>
      <c r="AS107" s="10"/>
      <c r="AT107" s="10">
        <v>8.49</v>
      </c>
      <c r="AU107" s="10">
        <v>6.15</v>
      </c>
      <c r="AV107" s="10">
        <v>7.5</v>
      </c>
      <c r="AW107" s="10">
        <v>12.24</v>
      </c>
      <c r="AX107" s="10">
        <v>7.93</v>
      </c>
      <c r="AY107" s="10">
        <v>6.83</v>
      </c>
      <c r="AZ107" s="10">
        <v>24.68</v>
      </c>
      <c r="BA107" s="10"/>
      <c r="BB107" s="10"/>
      <c r="BC107" s="10"/>
      <c r="BD107" s="10"/>
      <c r="BE107" s="10">
        <v>10.1</v>
      </c>
      <c r="BF107" s="10">
        <v>12.19</v>
      </c>
      <c r="BG107" s="10"/>
      <c r="BH107" s="10">
        <v>6.73</v>
      </c>
      <c r="BI107" s="10">
        <v>7.22</v>
      </c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57">
        <f>SUM(D107:CJ107)</f>
        <v>138.20999999999998</v>
      </c>
      <c r="CL107" s="94"/>
      <c r="CM107" s="13"/>
      <c r="CN107" s="13"/>
      <c r="CO107" s="13"/>
      <c r="CP107" s="13"/>
      <c r="CQ107" s="13"/>
      <c r="CR107" s="146"/>
      <c r="CS107" s="154"/>
    </row>
    <row r="108" spans="1:97" x14ac:dyDescent="0.25">
      <c r="A108" s="79" t="s">
        <v>259</v>
      </c>
      <c r="B108" s="80" t="s">
        <v>197</v>
      </c>
      <c r="C108" s="81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2"/>
      <c r="AL108" s="82"/>
      <c r="AM108" s="82"/>
      <c r="AN108" s="82"/>
      <c r="AO108" s="82"/>
      <c r="AP108" s="82"/>
      <c r="AQ108" s="82"/>
      <c r="AR108" s="82"/>
      <c r="AS108" s="82"/>
      <c r="AT108" s="82"/>
      <c r="AU108" s="82"/>
      <c r="AV108" s="82"/>
      <c r="AW108" s="82"/>
      <c r="AX108" s="82"/>
      <c r="AY108" s="82"/>
      <c r="AZ108" s="82"/>
      <c r="BA108" s="82"/>
      <c r="BB108" s="82"/>
      <c r="BC108" s="82"/>
      <c r="BD108" s="82"/>
      <c r="BE108" s="82"/>
      <c r="BF108" s="82"/>
      <c r="BG108" s="82"/>
      <c r="BH108" s="82"/>
      <c r="BI108" s="82"/>
      <c r="BJ108" s="82"/>
      <c r="BK108" s="82"/>
      <c r="BL108" s="82"/>
      <c r="BM108" s="82"/>
      <c r="BN108" s="82"/>
      <c r="BO108" s="82"/>
      <c r="BP108" s="82"/>
      <c r="BQ108" s="82"/>
      <c r="BR108" s="82"/>
      <c r="BS108" s="82"/>
      <c r="BT108" s="82"/>
      <c r="BU108" s="82"/>
      <c r="BV108" s="82"/>
      <c r="BW108" s="82"/>
      <c r="BX108" s="82"/>
      <c r="BY108" s="82"/>
      <c r="BZ108" s="82"/>
      <c r="CA108" s="82"/>
      <c r="CB108" s="82"/>
      <c r="CC108" s="82"/>
      <c r="CD108" s="82"/>
      <c r="CE108" s="82"/>
      <c r="CF108" s="82"/>
      <c r="CG108" s="82"/>
      <c r="CH108" s="82"/>
      <c r="CI108" s="82"/>
      <c r="CJ108" s="82"/>
      <c r="CK108" s="82"/>
      <c r="CL108" s="94"/>
      <c r="CM108" s="13"/>
      <c r="CN108" s="13"/>
      <c r="CO108" s="13"/>
      <c r="CP108" s="13"/>
      <c r="CQ108" s="13"/>
      <c r="CR108" s="146"/>
      <c r="CS108" s="149"/>
    </row>
    <row r="109" spans="1:97" x14ac:dyDescent="0.25">
      <c r="A109" s="85"/>
      <c r="B109" s="84" t="s">
        <v>194</v>
      </c>
      <c r="C109" s="86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>
        <f>8.8</f>
        <v>8.8000000000000007</v>
      </c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  <c r="BZ109" s="33"/>
      <c r="CA109" s="33"/>
      <c r="CB109" s="33"/>
      <c r="CC109" s="33"/>
      <c r="CD109" s="33">
        <v>9.07</v>
      </c>
      <c r="CE109" s="33"/>
      <c r="CF109" s="33"/>
      <c r="CG109" s="33"/>
      <c r="CH109" s="33">
        <f>8.42+4.3</f>
        <v>12.719999999999999</v>
      </c>
      <c r="CI109" s="33"/>
      <c r="CJ109" s="33">
        <v>5.29</v>
      </c>
      <c r="CK109" s="57">
        <f>SUM(D109:CJ109)</f>
        <v>35.880000000000003</v>
      </c>
      <c r="CL109" s="94"/>
      <c r="CM109" s="13"/>
      <c r="CN109" s="13"/>
      <c r="CO109" s="13"/>
      <c r="CP109" s="13"/>
      <c r="CQ109" s="13"/>
      <c r="CR109" s="146"/>
      <c r="CS109" s="149"/>
    </row>
    <row r="110" spans="1:97" ht="67.5" customHeight="1" x14ac:dyDescent="0.25">
      <c r="A110" s="92"/>
      <c r="B110" s="187" t="s">
        <v>306</v>
      </c>
      <c r="C110" s="6" t="s">
        <v>11</v>
      </c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>
        <f>8.8</f>
        <v>8.8000000000000007</v>
      </c>
      <c r="BO110" s="10"/>
      <c r="BP110" s="10"/>
      <c r="BQ110" s="10">
        <f>21.7</f>
        <v>21.7</v>
      </c>
      <c r="BR110" s="10">
        <f>5.92</f>
        <v>5.92</v>
      </c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>
        <f>9.07</f>
        <v>9.07</v>
      </c>
      <c r="CE110" s="10"/>
      <c r="CF110" s="10"/>
      <c r="CG110" s="10"/>
      <c r="CH110" s="33">
        <f>8.42+4.3</f>
        <v>12.719999999999999</v>
      </c>
      <c r="CI110" s="10"/>
      <c r="CJ110" s="10">
        <f>5.29</f>
        <v>5.29</v>
      </c>
      <c r="CK110" s="57">
        <f>SUM(D110:CJ110)</f>
        <v>63.5</v>
      </c>
      <c r="CL110" s="94"/>
      <c r="CM110" s="13"/>
      <c r="CN110" s="13"/>
      <c r="CO110" s="13"/>
      <c r="CP110" s="13"/>
      <c r="CQ110" s="94" t="s">
        <v>309</v>
      </c>
      <c r="CR110" s="146"/>
      <c r="CS110" s="149"/>
    </row>
    <row r="111" spans="1:97" x14ac:dyDescent="0.25">
      <c r="A111" s="79" t="s">
        <v>260</v>
      </c>
      <c r="B111" s="80" t="s">
        <v>202</v>
      </c>
      <c r="C111" s="81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2"/>
      <c r="AL111" s="82"/>
      <c r="AM111" s="82"/>
      <c r="AN111" s="82"/>
      <c r="AO111" s="82"/>
      <c r="AP111" s="82"/>
      <c r="AQ111" s="82"/>
      <c r="AR111" s="82"/>
      <c r="AS111" s="82"/>
      <c r="AT111" s="82"/>
      <c r="AU111" s="82"/>
      <c r="AV111" s="82"/>
      <c r="AW111" s="82"/>
      <c r="AX111" s="82"/>
      <c r="AY111" s="82"/>
      <c r="AZ111" s="82"/>
      <c r="BA111" s="82"/>
      <c r="BB111" s="82"/>
      <c r="BC111" s="82"/>
      <c r="BD111" s="82"/>
      <c r="BE111" s="82"/>
      <c r="BF111" s="82"/>
      <c r="BG111" s="82"/>
      <c r="BH111" s="82"/>
      <c r="BI111" s="82"/>
      <c r="BJ111" s="82"/>
      <c r="BK111" s="82"/>
      <c r="BL111" s="82"/>
      <c r="BM111" s="82"/>
      <c r="BN111" s="82"/>
      <c r="BO111" s="82"/>
      <c r="BP111" s="82"/>
      <c r="BQ111" s="82"/>
      <c r="BR111" s="82"/>
      <c r="BS111" s="82"/>
      <c r="BT111" s="82"/>
      <c r="BU111" s="82"/>
      <c r="BV111" s="82"/>
      <c r="BW111" s="82"/>
      <c r="BX111" s="82"/>
      <c r="BY111" s="82"/>
      <c r="BZ111" s="82"/>
      <c r="CA111" s="82"/>
      <c r="CB111" s="82"/>
      <c r="CC111" s="82"/>
      <c r="CD111" s="82"/>
      <c r="CE111" s="82"/>
      <c r="CF111" s="82"/>
      <c r="CG111" s="82"/>
      <c r="CH111" s="82"/>
      <c r="CI111" s="82"/>
      <c r="CJ111" s="82"/>
      <c r="CK111" s="82"/>
      <c r="CL111" s="94"/>
      <c r="CM111" s="13"/>
      <c r="CN111" s="13"/>
      <c r="CO111" s="13"/>
      <c r="CP111" s="13"/>
      <c r="CQ111" s="13"/>
      <c r="CR111" s="146"/>
      <c r="CS111" s="149"/>
    </row>
    <row r="112" spans="1:97" ht="153.75" customHeight="1" x14ac:dyDescent="0.25">
      <c r="A112" s="92"/>
      <c r="B112" s="26" t="s">
        <v>305</v>
      </c>
      <c r="C112" s="93" t="s">
        <v>11</v>
      </c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>
        <f>13.8</f>
        <v>13.8</v>
      </c>
      <c r="BX112" s="10"/>
      <c r="BY112" s="10"/>
      <c r="BZ112" s="10"/>
      <c r="CA112" s="10"/>
      <c r="CB112" s="10"/>
      <c r="CC112" s="10"/>
      <c r="CD112" s="10"/>
      <c r="CE112" s="10"/>
      <c r="CF112" s="10">
        <f>5.98</f>
        <v>5.98</v>
      </c>
      <c r="CG112" s="10"/>
      <c r="CH112" s="10"/>
      <c r="CI112" s="10"/>
      <c r="CJ112" s="10"/>
      <c r="CK112" s="57">
        <f>SUM(D112:CJ112)</f>
        <v>19.78</v>
      </c>
      <c r="CL112" s="94"/>
      <c r="CM112" s="13"/>
      <c r="CN112" s="13"/>
      <c r="CO112" s="13"/>
      <c r="CP112" s="13"/>
      <c r="CQ112" s="13"/>
      <c r="CR112" s="146"/>
      <c r="CS112" s="149"/>
    </row>
    <row r="113" spans="1:97" ht="18" customHeight="1" x14ac:dyDescent="0.25">
      <c r="A113" s="118" t="s">
        <v>261</v>
      </c>
      <c r="B113" s="119" t="s">
        <v>13</v>
      </c>
      <c r="C113" s="120"/>
      <c r="D113" s="121"/>
      <c r="E113" s="121"/>
      <c r="F113" s="121"/>
      <c r="G113" s="121"/>
      <c r="H113" s="121"/>
      <c r="I113" s="121"/>
      <c r="J113" s="121"/>
      <c r="K113" s="121"/>
      <c r="L113" s="121"/>
      <c r="M113" s="121"/>
      <c r="N113" s="121"/>
      <c r="O113" s="121"/>
      <c r="P113" s="121"/>
      <c r="Q113" s="121"/>
      <c r="R113" s="121"/>
      <c r="S113" s="121"/>
      <c r="T113" s="121"/>
      <c r="U113" s="121"/>
      <c r="V113" s="121"/>
      <c r="W113" s="121"/>
      <c r="X113" s="121"/>
      <c r="Y113" s="121"/>
      <c r="Z113" s="121"/>
      <c r="AA113" s="121"/>
      <c r="AB113" s="121"/>
      <c r="AC113" s="121"/>
      <c r="AD113" s="121"/>
      <c r="AE113" s="121"/>
      <c r="AF113" s="121"/>
      <c r="AG113" s="121"/>
      <c r="AH113" s="121"/>
      <c r="AI113" s="121"/>
      <c r="AJ113" s="121"/>
      <c r="AK113" s="121"/>
      <c r="AL113" s="121"/>
      <c r="AM113" s="121"/>
      <c r="AN113" s="121"/>
      <c r="AO113" s="121"/>
      <c r="AP113" s="121"/>
      <c r="AQ113" s="121"/>
      <c r="AR113" s="121"/>
      <c r="AS113" s="121"/>
      <c r="AT113" s="121"/>
      <c r="AU113" s="121"/>
      <c r="AV113" s="121"/>
      <c r="AW113" s="121"/>
      <c r="AX113" s="121"/>
      <c r="AY113" s="121"/>
      <c r="AZ113" s="121"/>
      <c r="BA113" s="121"/>
      <c r="BB113" s="121"/>
      <c r="BC113" s="121"/>
      <c r="BD113" s="121"/>
      <c r="BE113" s="121"/>
      <c r="BF113" s="121"/>
      <c r="BG113" s="121"/>
      <c r="BH113" s="121"/>
      <c r="BI113" s="121"/>
      <c r="BJ113" s="121"/>
      <c r="BK113" s="121"/>
      <c r="BL113" s="121"/>
      <c r="BM113" s="121"/>
      <c r="BN113" s="121"/>
      <c r="BO113" s="121"/>
      <c r="BP113" s="121"/>
      <c r="BQ113" s="121"/>
      <c r="BR113" s="121"/>
      <c r="BS113" s="121"/>
      <c r="BT113" s="121"/>
      <c r="BU113" s="121"/>
      <c r="BV113" s="121"/>
      <c r="BW113" s="121"/>
      <c r="BX113" s="121"/>
      <c r="BY113" s="121"/>
      <c r="BZ113" s="121"/>
      <c r="CA113" s="121"/>
      <c r="CB113" s="121"/>
      <c r="CC113" s="121"/>
      <c r="CD113" s="121"/>
      <c r="CE113" s="121"/>
      <c r="CF113" s="121"/>
      <c r="CG113" s="121"/>
      <c r="CH113" s="121"/>
      <c r="CI113" s="121"/>
      <c r="CJ113" s="121"/>
      <c r="CK113" s="121"/>
      <c r="CL113" s="94"/>
      <c r="CM113" s="13"/>
      <c r="CN113" s="13"/>
      <c r="CO113" s="13"/>
      <c r="CP113" s="13"/>
      <c r="CQ113" s="13"/>
      <c r="CR113" s="146"/>
      <c r="CS113" s="149"/>
    </row>
    <row r="114" spans="1:97" ht="123" customHeight="1" x14ac:dyDescent="0.25">
      <c r="A114" s="135"/>
      <c r="B114" s="107" t="s">
        <v>266</v>
      </c>
      <c r="C114" s="86" t="s">
        <v>11</v>
      </c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83"/>
      <c r="AG114" s="83"/>
      <c r="AH114" s="83"/>
      <c r="AI114" s="83"/>
      <c r="AJ114" s="83"/>
      <c r="AK114" s="83"/>
      <c r="AL114" s="83"/>
      <c r="AM114" s="83"/>
      <c r="AN114" s="83"/>
      <c r="AO114" s="83"/>
      <c r="AP114" s="83"/>
      <c r="AQ114" s="83"/>
      <c r="AR114" s="83"/>
      <c r="AS114" s="83"/>
      <c r="AT114" s="83"/>
      <c r="AU114" s="83"/>
      <c r="AV114" s="83"/>
      <c r="AW114" s="83"/>
      <c r="AX114" s="83"/>
      <c r="AY114" s="83"/>
      <c r="AZ114" s="83"/>
      <c r="BA114" s="83"/>
      <c r="BB114" s="83"/>
      <c r="BC114" s="83"/>
      <c r="BD114" s="83"/>
      <c r="BE114" s="83"/>
      <c r="BF114" s="83"/>
      <c r="BG114" s="83"/>
      <c r="BH114" s="83"/>
      <c r="BI114" s="83"/>
      <c r="BJ114" s="83"/>
      <c r="BK114" s="83"/>
      <c r="BL114" s="83"/>
      <c r="BM114" s="83"/>
      <c r="BN114" s="83"/>
      <c r="BO114" s="83"/>
      <c r="BP114" s="83"/>
      <c r="BQ114" s="83"/>
      <c r="BR114" s="83"/>
      <c r="BS114" s="83"/>
      <c r="BT114" s="83"/>
      <c r="BU114" s="83"/>
      <c r="BV114" s="83"/>
      <c r="BW114" s="83"/>
      <c r="BX114" s="83"/>
      <c r="BY114" s="83"/>
      <c r="BZ114" s="83"/>
      <c r="CA114" s="83"/>
      <c r="CB114" s="83"/>
      <c r="CC114" s="83"/>
      <c r="CD114" s="83">
        <f>(12.72-2.16)*4.2-(2.1*1.75)</f>
        <v>40.677000000000007</v>
      </c>
      <c r="CE114" s="83"/>
      <c r="CF114" s="83">
        <f>(10.96-3.4)*4.02-(2.1*1.6)</f>
        <v>27.031199999999998</v>
      </c>
      <c r="CG114" s="83"/>
      <c r="CH114" s="83">
        <f>(16.1-2.16)*4.02-(2.1*1.6*3)</f>
        <v>45.958799999999997</v>
      </c>
      <c r="CI114" s="83">
        <f>(9.22-2.14)*4.02-(2.1*1.6*2)</f>
        <v>21.741599999999998</v>
      </c>
      <c r="CJ114" s="83">
        <f>(9.22-2.14)*4.02-(2.1*1.6*2)</f>
        <v>21.741599999999998</v>
      </c>
      <c r="CK114" s="139">
        <f t="shared" ref="CK114:CK122" si="31">SUM(D114:CJ114)</f>
        <v>157.15020000000001</v>
      </c>
      <c r="CL114" s="94"/>
      <c r="CM114" s="13"/>
      <c r="CN114" s="13"/>
      <c r="CO114" s="13"/>
      <c r="CP114" s="13"/>
      <c r="CQ114" s="13"/>
      <c r="CR114" s="146"/>
      <c r="CS114" s="149"/>
    </row>
    <row r="115" spans="1:97" ht="30" x14ac:dyDescent="0.25">
      <c r="A115" s="92"/>
      <c r="B115" s="26" t="s">
        <v>313</v>
      </c>
      <c r="C115" s="93" t="s">
        <v>11</v>
      </c>
      <c r="D115" s="54">
        <f>29.7*4.03-(1.06*2.73*2+1.77*2.73+1.4*2.1+1.01*2.1+1.6*2.1)</f>
        <v>100.6503</v>
      </c>
      <c r="E115" s="54">
        <f>29.2*4.03-(1.06*2.73*5+1.4*2.1*2+1.05*2.1+1.01*2.1)</f>
        <v>93.001000000000005</v>
      </c>
      <c r="F115" s="54"/>
      <c r="G115" s="54"/>
      <c r="H115" s="54">
        <f>24.25*4.03-(1.4*2.1+1.6*2.1+1.06*2.73)</f>
        <v>88.53370000000001</v>
      </c>
      <c r="I115" s="54">
        <f>29.62*4.03-(1.77*2.73+0.72*2.73+1.01*2.1+1.6*2.1)</f>
        <v>107.08990000000001</v>
      </c>
      <c r="J115" s="54">
        <f>30.16*4.03-(1.77*2.73*2+1.4*2.1*2+1.05*2.1+1.01*2.1)</f>
        <v>101.67460000000001</v>
      </c>
      <c r="K115" s="54"/>
      <c r="L115" s="54"/>
      <c r="M115" s="54">
        <f>24.01*4.03-(1.06*2.73+1.4*2.1+1.6*2.1)</f>
        <v>87.566500000000019</v>
      </c>
      <c r="N115" s="54">
        <f>29.62*4.03-(1.77*2.73+0.72*2.73+1.01*2.1+1.6*2.1)</f>
        <v>107.08990000000001</v>
      </c>
      <c r="O115" s="54">
        <f>30.16*4.03-(1.77*2.73*2+1.4*2.1*2+1.05*2.1+1.01*2.1)</f>
        <v>101.67460000000001</v>
      </c>
      <c r="P115" s="54"/>
      <c r="Q115" s="54"/>
      <c r="R115" s="54">
        <f>23.9*4.03-(1.06*2.73+1.4*2.1+1.6*2.1)</f>
        <v>87.123200000000011</v>
      </c>
      <c r="S115" s="54">
        <f>29.7*4.03-(1.06*2.73*2+1.77*2.73+1.4*2.1+1.01*2.1+1.6*2.1)</f>
        <v>100.6503</v>
      </c>
      <c r="T115" s="54">
        <f>29.2*4.03-(1.06*2.73*5+1.4*2.1*2+1.05*2.1+1.01*2.1)</f>
        <v>93.001000000000005</v>
      </c>
      <c r="U115" s="54"/>
      <c r="V115" s="54"/>
      <c r="W115" s="54">
        <f>24.36*4.03-(1.4*2.1+1.6*2.1+1.06*2.73)</f>
        <v>88.977000000000004</v>
      </c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>
        <f>18.3*4.03-(1.05*2.1*4)</f>
        <v>64.929000000000002</v>
      </c>
      <c r="AO115" s="54"/>
      <c r="AP115" s="54"/>
      <c r="AQ115" s="83"/>
      <c r="AR115" s="54"/>
      <c r="AS115" s="54"/>
      <c r="AT115" s="83"/>
      <c r="AU115" s="83"/>
      <c r="AV115" s="83"/>
      <c r="AW115" s="83"/>
      <c r="AX115" s="54"/>
      <c r="AY115" s="54"/>
      <c r="AZ115" s="83"/>
      <c r="BA115" s="83"/>
      <c r="BB115" s="83"/>
      <c r="BC115" s="83"/>
      <c r="BD115" s="83"/>
      <c r="BE115" s="83"/>
      <c r="BF115" s="83"/>
      <c r="BG115" s="83"/>
      <c r="BH115" s="83"/>
      <c r="BI115" s="83"/>
      <c r="BJ115" s="83"/>
      <c r="BK115" s="83"/>
      <c r="BL115" s="83"/>
      <c r="BM115" s="83"/>
      <c r="BN115" s="83">
        <f>13.12*4.02-(3.2*1.78+1.65*2.1)</f>
        <v>43.581399999999988</v>
      </c>
      <c r="BO115" s="83">
        <f>(16.46*4.02)-(2.4*2.07+2.1*1.06+2.1*1.01)</f>
        <v>56.854199999999992</v>
      </c>
      <c r="BP115" s="54">
        <f>7.3*4.02-(2.1*1.01)</f>
        <v>27.224999999999998</v>
      </c>
      <c r="BQ115" s="54">
        <f>(19*4.02)-(2.1*1.65*2+2.1*1.6+2.1*1.05+2.1*1.01)</f>
        <v>61.763999999999996</v>
      </c>
      <c r="BR115" s="54">
        <f>9.76*4.02-(2.1*1.6+2.1*1.18)</f>
        <v>33.397199999999991</v>
      </c>
      <c r="BS115" s="54"/>
      <c r="BT115" s="54">
        <f>56*4.02-(2.1*1.6*4+2.1*1.05*3+2.1*1.4*2+2.1*1.05*4)</f>
        <v>190.36499999999998</v>
      </c>
      <c r="BU115" s="54">
        <f>81.58*4.02-(2.1*1.6*5+2.1*1.06*7+2.1*1.65+2.1*1.05)</f>
        <v>289.89959999999996</v>
      </c>
      <c r="BV115" s="54"/>
      <c r="BW115" s="54"/>
      <c r="BX115" s="54"/>
      <c r="BY115" s="54"/>
      <c r="BZ115" s="54"/>
      <c r="CA115" s="54"/>
      <c r="CB115" s="54"/>
      <c r="CC115" s="83">
        <f>(122.95-(7+0.8*3+0.32+0.44*2+1.6*2.1*3))*2+((14.38*3.4-(2.05*1.37*3+3.4*0.21*3)))+((14.38*3.4-(3.4*0.21*3+1.4*2.1)))</f>
        <v>286.67449999999997</v>
      </c>
      <c r="CD115" s="83"/>
      <c r="CE115" s="83">
        <f>(145.35-1.6*2.1*3-0.59*2-1.23*2-4.38)*2-4.75+(11.24*3.4-0.16*3.4-1.6*2.1-1.37*2.07*3)+(11.34*3.4-1.6*2.1*3-3.4*0.16)</f>
        <v>303.48629999999997</v>
      </c>
      <c r="CF115" s="83"/>
      <c r="CG115" s="83">
        <f>(122.95-(7+0.8*3+0.32+0.44*2+1.6*2.1*3))*2+((14.38*3.4-(2.05*1.37*3+3.4*0.21*3)))+((14.38*3.4-(3.4*0.21*3+1.4*2.1)))</f>
        <v>286.67449999999997</v>
      </c>
      <c r="CH115" s="54"/>
      <c r="CI115" s="54"/>
      <c r="CJ115" s="54"/>
      <c r="CK115" s="139">
        <f t="shared" si="31"/>
        <v>2801.8827000000001</v>
      </c>
      <c r="CL115" s="94"/>
      <c r="CM115" s="13"/>
      <c r="CN115" s="13"/>
      <c r="CO115" s="13"/>
      <c r="CP115" s="13"/>
      <c r="CQ115" s="13"/>
      <c r="CR115" s="146"/>
      <c r="CS115" s="149"/>
    </row>
    <row r="116" spans="1:97" ht="49.5" customHeight="1" x14ac:dyDescent="0.25">
      <c r="A116" s="92"/>
      <c r="B116" s="26" t="s">
        <v>314</v>
      </c>
      <c r="C116" s="93" t="s">
        <v>11</v>
      </c>
      <c r="D116" s="54"/>
      <c r="E116" s="54"/>
      <c r="F116" s="54">
        <f>12.06*4.03-(1.05*2.1*2)</f>
        <v>44.191800000000001</v>
      </c>
      <c r="G116" s="54">
        <f>19.14*4.03-(1.01*2.1+1.05*2.1)</f>
        <v>72.808199999999999</v>
      </c>
      <c r="H116" s="54"/>
      <c r="I116" s="54"/>
      <c r="J116" s="54"/>
      <c r="K116" s="54">
        <f>10.14*4.03-(1.05*2.1*2)</f>
        <v>36.4542</v>
      </c>
      <c r="L116" s="54">
        <f>20.29*4.03-(1.01*2.1+1.05*2.1)</f>
        <v>77.442700000000002</v>
      </c>
      <c r="M116" s="54"/>
      <c r="N116" s="54"/>
      <c r="O116" s="54"/>
      <c r="P116" s="54">
        <f>10.16*4.03-(1.05*2.1*2)</f>
        <v>36.534800000000004</v>
      </c>
      <c r="Q116" s="54">
        <f>20.29*4.03-(1.01*2.1+1.05*2.1)</f>
        <v>77.442700000000002</v>
      </c>
      <c r="R116" s="54"/>
      <c r="S116" s="54"/>
      <c r="T116" s="54"/>
      <c r="U116" s="54">
        <f>12.06*4.03-(1.05*2.1*2)</f>
        <v>44.191800000000001</v>
      </c>
      <c r="V116" s="54">
        <f>19.14*4.03-(1.01*2.1+1.05*2.1)</f>
        <v>72.808199999999999</v>
      </c>
      <c r="W116" s="54"/>
      <c r="X116" s="54">
        <f>(40.1*3.6)-(1.05*2.1*6+2.04*2.4*2+1.725*2.4*2+1.4*2.1*2)</f>
        <v>107.17800000000001</v>
      </c>
      <c r="Y116" s="54">
        <f>(34.53*3.6)-(1.06*2.73+2.07*2.73+1.05*2.1+1.01*2.1+1.05*2.1)</f>
        <v>109.2321</v>
      </c>
      <c r="Z116" s="54">
        <f>(9.24*3.85)-((1.05*2.1)*2)</f>
        <v>31.164000000000005</v>
      </c>
      <c r="AA116" s="54">
        <f>(8.64*3.85)-(1.05*2.1)</f>
        <v>31.059000000000005</v>
      </c>
      <c r="AB116" s="54">
        <f>9.2*3.6-(1.05*2.1*2+1.01*2.1)</f>
        <v>26.588999999999999</v>
      </c>
      <c r="AC116" s="54">
        <f>9.2*3.85-(1.05*2.1*2)</f>
        <v>31.009999999999994</v>
      </c>
      <c r="AD116" s="54">
        <f>8.6*3.85-(1.01*2.1)</f>
        <v>30.989000000000001</v>
      </c>
      <c r="AE116" s="54">
        <f>(15.96*3.85)-(1.05*2.1+1.01*2.1)</f>
        <v>57.120000000000005</v>
      </c>
      <c r="AF116" s="54">
        <f>11.18-(1.01*2.1)</f>
        <v>9.0589999999999993</v>
      </c>
      <c r="AG116" s="54">
        <f>13.3-(1.05*2.1)</f>
        <v>11.095000000000001</v>
      </c>
      <c r="AH116" s="54">
        <f>11.32*3.85-(1.05*2.1)</f>
        <v>41.377000000000002</v>
      </c>
      <c r="AI116" s="54">
        <f>8.45*3.85-(1.05*2.1)</f>
        <v>30.327500000000001</v>
      </c>
      <c r="AJ116" s="54">
        <f>10.92*4.03-(1.05*2.1)</f>
        <v>41.802600000000005</v>
      </c>
      <c r="AK116" s="54">
        <f>15.96*4.03-(1.06*2.73+1*2.1*2)</f>
        <v>57.225000000000009</v>
      </c>
      <c r="AL116" s="54">
        <f>10.42*4.03-(1.05*2.1)</f>
        <v>39.787600000000005</v>
      </c>
      <c r="AM116" s="54">
        <f>16.33*4.02-(1.06*2.73+1*2.1*2)</f>
        <v>58.552799999999991</v>
      </c>
      <c r="AN116" s="54"/>
      <c r="AO116" s="54">
        <f>14.46*3.88-(1.05*2.1*3+1.01*2.1)</f>
        <v>47.368800000000007</v>
      </c>
      <c r="AP116" s="54">
        <f>10.2*3.88-(1.01*2.1)</f>
        <v>37.454999999999991</v>
      </c>
      <c r="AQ116" s="54">
        <f>14.26*3.88-(1.06*2.73+1.05*2.1)</f>
        <v>50.230000000000004</v>
      </c>
      <c r="AR116" s="54">
        <f>14.02*3.88-(2.07*2.73+1.05*2.1)</f>
        <v>46.541499999999999</v>
      </c>
      <c r="AS116" s="54">
        <f>10.44*4.02-(1.7*2.3+1.75*2.1)</f>
        <v>34.383799999999994</v>
      </c>
      <c r="AT116" s="83">
        <f>12.82*4.02-(1.05*2.1+1.06*2.73)</f>
        <v>46.437599999999989</v>
      </c>
      <c r="AU116" s="83">
        <f>11.04*4.02-(1.06*2.1)</f>
        <v>42.154799999999994</v>
      </c>
      <c r="AV116" s="83">
        <f>13.32*4.02-(1.06*2.1+1.06*2.73)</f>
        <v>48.426600000000001</v>
      </c>
      <c r="AW116" s="83">
        <f>16.08*4.02-(1.06*2.1*2+1.06*2.73)</f>
        <v>57.295799999999986</v>
      </c>
      <c r="AX116" s="83">
        <f>12.72*4.02-(1.06*2.1+1.06*2.73)</f>
        <v>46.014600000000002</v>
      </c>
      <c r="AY116" s="83">
        <f>16.03*4.02-(1.06*2.1+1.06*2.73)</f>
        <v>59.320800000000006</v>
      </c>
      <c r="AZ116" s="83">
        <f>20.4*4.02-(2.07*2.73+1.06*2.73+1.05*2.1*2)</f>
        <v>69.053099999999986</v>
      </c>
      <c r="BA116" s="83">
        <f>15.77*4.02-(1.06*2.1*2)</f>
        <v>58.943399999999997</v>
      </c>
      <c r="BB116" s="83">
        <f>10.6*4.02-(0.91*2.1+1.01*2.1*2)</f>
        <v>36.458999999999996</v>
      </c>
      <c r="BC116" s="83">
        <f>6.98*4.02-(1.01*2.1)</f>
        <v>25.938600000000001</v>
      </c>
      <c r="BD116" s="83">
        <f>5.5*4.03-(0.91*2.1)</f>
        <v>20.254000000000001</v>
      </c>
      <c r="BE116" s="83">
        <f>13.02*4.02-(1.05*2.1)</f>
        <v>50.135399999999997</v>
      </c>
      <c r="BF116" s="83">
        <f>14.22*4.02-(1.05*2.1)</f>
        <v>54.959399999999995</v>
      </c>
      <c r="BG116" s="83">
        <f>36.68*4.03-(1.73*2.1+1.01*2.1+1.05*2.1*13+1.2*2.07)</f>
        <v>110.91740000000001</v>
      </c>
      <c r="BH116" s="83">
        <f>11.32*4.02-(1.05*2.1)</f>
        <v>43.301400000000001</v>
      </c>
      <c r="BI116" s="83">
        <f>11.76*4.02-(1.05*2.1)</f>
        <v>45.070199999999993</v>
      </c>
      <c r="BJ116" s="83">
        <f>10.16*4.02-(1.05*2.1+1.05*2.73)</f>
        <v>35.771699999999996</v>
      </c>
      <c r="BK116" s="83">
        <f>8.52*4.02-(1.2*2.1)</f>
        <v>31.730399999999992</v>
      </c>
      <c r="BL116" s="83">
        <f>12.95*4.02-(1.05*2.1*4+1.2*2.07)</f>
        <v>40.754999999999988</v>
      </c>
      <c r="BM116" s="83">
        <f>8.52*4.02-(2.1*1.06)</f>
        <v>32.024399999999993</v>
      </c>
      <c r="BN116" s="83"/>
      <c r="BO116" s="54"/>
      <c r="BP116" s="54"/>
      <c r="BQ116" s="54"/>
      <c r="BR116" s="54"/>
      <c r="BS116" s="54">
        <f>7.7*4.02-(2.1*1.01)</f>
        <v>28.832999999999998</v>
      </c>
      <c r="BT116" s="54"/>
      <c r="BU116" s="54"/>
      <c r="BV116" s="54">
        <f>8.52*4.02-(2.1*1.05)</f>
        <v>32.045399999999994</v>
      </c>
      <c r="BW116" s="54">
        <f>16.9*4.02-(2.1*1.05)</f>
        <v>65.73299999999999</v>
      </c>
      <c r="BX116" s="54">
        <f>9.86*4.02-(2.1*1.05)</f>
        <v>37.432199999999995</v>
      </c>
      <c r="BY116" s="54">
        <f>9.86*4.02-(2.1*1.05)</f>
        <v>37.432199999999995</v>
      </c>
      <c r="BZ116" s="54">
        <f>9.24*4.02-(2.1*1.05+2.1*1.01)</f>
        <v>32.818799999999996</v>
      </c>
      <c r="CA116" s="54">
        <f>6.96*4.02-(2.1*1.01)</f>
        <v>25.858199999999997</v>
      </c>
      <c r="CB116" s="54">
        <f>6.24*4.02-(2.1*1.01)</f>
        <v>22.963799999999999</v>
      </c>
      <c r="CC116" s="83"/>
      <c r="CD116" s="83">
        <f>2.16*4.02-2.3*1.7</f>
        <v>4.7731999999999992</v>
      </c>
      <c r="CE116" s="83"/>
      <c r="CF116" s="83">
        <f>3.4*4.02-(2.1*1.67)</f>
        <v>10.160999999999998</v>
      </c>
      <c r="CG116" s="83"/>
      <c r="CH116" s="54">
        <f>2.16*4.02-(2.3*1.7)</f>
        <v>4.7731999999999992</v>
      </c>
      <c r="CI116" s="54">
        <f>2.14*4.02-(3.2*1.55)</f>
        <v>3.6427999999999994</v>
      </c>
      <c r="CJ116" s="54">
        <f>2.14*4.02-(3.2*1.55)</f>
        <v>3.6427999999999994</v>
      </c>
      <c r="CK116" s="139">
        <f t="shared" si="31"/>
        <v>2656.4943000000003</v>
      </c>
      <c r="CL116" s="94"/>
      <c r="CM116" s="13"/>
      <c r="CN116" s="13"/>
      <c r="CO116" s="13"/>
      <c r="CP116" s="13"/>
      <c r="CQ116" s="13"/>
      <c r="CR116" s="146"/>
      <c r="CS116" s="149"/>
    </row>
    <row r="117" spans="1:97" ht="98.25" customHeight="1" x14ac:dyDescent="0.25">
      <c r="A117" s="92"/>
      <c r="B117" s="26" t="s">
        <v>256</v>
      </c>
      <c r="C117" s="93" t="s">
        <v>11</v>
      </c>
      <c r="D117" s="54"/>
      <c r="E117" s="54"/>
      <c r="F117" s="54">
        <f>12.06*2.1-(1.05*2.1*2)</f>
        <v>20.916</v>
      </c>
      <c r="G117" s="54">
        <f>19.14*2.1-(1.01*2.1)</f>
        <v>38.073</v>
      </c>
      <c r="H117" s="54"/>
      <c r="I117" s="54"/>
      <c r="J117" s="54"/>
      <c r="K117" s="54">
        <f>10.14*2.1-(1.05*2.1*2)</f>
        <v>16.884</v>
      </c>
      <c r="L117" s="54">
        <f>20.29*2.1-(1.01*2.1+1.05*2.1)</f>
        <v>38.283000000000001</v>
      </c>
      <c r="M117" s="54"/>
      <c r="N117" s="54"/>
      <c r="O117" s="54"/>
      <c r="P117" s="54">
        <f>10.14*2.1-(1.05*2.1*2)</f>
        <v>16.884</v>
      </c>
      <c r="Q117" s="54">
        <f>20.29*2.1-(1.01*2.1+1.05*2.1)</f>
        <v>38.283000000000001</v>
      </c>
      <c r="R117" s="54"/>
      <c r="S117" s="54"/>
      <c r="T117" s="54"/>
      <c r="U117" s="54">
        <f>12.06*2.1-(1.05*2.1*2)</f>
        <v>20.916</v>
      </c>
      <c r="V117" s="54">
        <f>19.14*2.1-(1.01*2.1)</f>
        <v>38.073</v>
      </c>
      <c r="W117" s="54"/>
      <c r="X117" s="54">
        <f>X116</f>
        <v>107.17800000000001</v>
      </c>
      <c r="Y117" s="54">
        <f>Y116</f>
        <v>109.2321</v>
      </c>
      <c r="Z117" s="54">
        <f>Z116</f>
        <v>31.164000000000005</v>
      </c>
      <c r="AA117" s="90">
        <f>(8.64*2.1)-(1.05*2.1)</f>
        <v>15.939000000000002</v>
      </c>
      <c r="AB117" s="54">
        <f>AB116</f>
        <v>26.588999999999999</v>
      </c>
      <c r="AC117" s="54">
        <f>AC116</f>
        <v>31.009999999999994</v>
      </c>
      <c r="AD117" s="90">
        <f>8.6*2.1-(1.01*2.1)</f>
        <v>15.938999999999998</v>
      </c>
      <c r="AE117" s="54">
        <f>AE116</f>
        <v>57.120000000000005</v>
      </c>
      <c r="AF117" s="54">
        <f>AF116</f>
        <v>9.0589999999999993</v>
      </c>
      <c r="AG117" s="54">
        <f>AG116</f>
        <v>11.095000000000001</v>
      </c>
      <c r="AH117" s="54">
        <f>AH116</f>
        <v>41.377000000000002</v>
      </c>
      <c r="AI117" s="54">
        <f>AI116</f>
        <v>30.327500000000001</v>
      </c>
      <c r="AJ117" s="78">
        <f>10.92*2.1-(1.05*2.1)</f>
        <v>20.727000000000004</v>
      </c>
      <c r="AK117" s="78">
        <f>15.96*2.1-(1.06*2.73+1*2.1*2)</f>
        <v>26.422200000000004</v>
      </c>
      <c r="AL117" s="90">
        <f>10.42*2.1-(1.05*2.1)</f>
        <v>19.677</v>
      </c>
      <c r="AM117" s="90">
        <f>16.33*2.1-(1.06*2.73+1*2.1*2)</f>
        <v>27.199199999999998</v>
      </c>
      <c r="AN117" s="54"/>
      <c r="AO117" s="54">
        <f>14.46*2.1-(1.05*2.1*3+1.01*2.1)</f>
        <v>21.630000000000003</v>
      </c>
      <c r="AP117" s="78">
        <f>10.2*2.1-(1.01*2.1)</f>
        <v>19.298999999999999</v>
      </c>
      <c r="AQ117" s="54">
        <f>AQ116</f>
        <v>50.230000000000004</v>
      </c>
      <c r="AR117" s="54">
        <f>AR116</f>
        <v>46.541499999999999</v>
      </c>
      <c r="AS117" s="90">
        <f>10.44*2.1-(1.7*2.3+1.75*2.1)</f>
        <v>14.338999999999999</v>
      </c>
      <c r="AT117" s="83">
        <f>12.82*3.9-(1.05*2.1+1.06*2.73)</f>
        <v>44.899199999999993</v>
      </c>
      <c r="AU117" s="83">
        <f>11.04*4.02-(1.06*2.1)</f>
        <v>42.154799999999994</v>
      </c>
      <c r="AV117" s="83">
        <f>13.32*3.9-(1.06*2.1+1.06*2.73)</f>
        <v>46.828200000000002</v>
      </c>
      <c r="AW117" s="83">
        <f>16.08*3.9-(1.06*2.1*2+1.06*2.73)</f>
        <v>55.366199999999992</v>
      </c>
      <c r="AX117" s="83">
        <f>12.72*3.9-(1.06*2.1+1.06*2.73)</f>
        <v>44.488200000000006</v>
      </c>
      <c r="AY117" s="83">
        <f>16.03*3.9-(1.06*2.1+1.06*2.73)</f>
        <v>57.397200000000005</v>
      </c>
      <c r="AZ117" s="83">
        <f>20.4*3.9-(2.07*2.73+1.06*2.73+1.05*2.1*2)</f>
        <v>66.605099999999993</v>
      </c>
      <c r="BA117" s="90">
        <f>15.77*2.1-(1.06*2.1*2)</f>
        <v>28.664999999999996</v>
      </c>
      <c r="BB117" s="83"/>
      <c r="BC117" s="90">
        <f>6.98*2.1-(1.01*2.1)</f>
        <v>12.537000000000001</v>
      </c>
      <c r="BD117" s="83">
        <f>5.5*3.9-(0.91*2.1)</f>
        <v>19.538999999999998</v>
      </c>
      <c r="BE117" s="83">
        <f>13.02*3.9-(1.05*2.1)</f>
        <v>48.573</v>
      </c>
      <c r="BF117" s="83">
        <f>14.22*3.9-(1.05*2.1)</f>
        <v>53.253</v>
      </c>
      <c r="BG117" s="54"/>
      <c r="BH117" s="83">
        <f>11.32*3.9-(1.05*2.1)</f>
        <v>41.943000000000005</v>
      </c>
      <c r="BI117" s="83">
        <f>11.76*3.9-(1.05*2.1)</f>
        <v>43.658999999999999</v>
      </c>
      <c r="BJ117" s="54"/>
      <c r="BK117" s="83">
        <f>8.52*2.1-(1.2*2.1)</f>
        <v>15.372</v>
      </c>
      <c r="BL117" s="83">
        <f>12.95*3.9-(1.05*2.1*4+1.2*2.07)</f>
        <v>39.200999999999993</v>
      </c>
      <c r="BM117" s="134">
        <f>8.52*2.1-(2.1*1.06)</f>
        <v>15.665999999999999</v>
      </c>
      <c r="BN117" s="54"/>
      <c r="BO117" s="54"/>
      <c r="BP117" s="78">
        <f>7.3*2.1-(2.1*1.01)</f>
        <v>13.209</v>
      </c>
      <c r="BQ117" s="54"/>
      <c r="BR117" s="54"/>
      <c r="BS117" s="78">
        <f>7.7*2.1-(2.1*1.01)</f>
        <v>14.049000000000001</v>
      </c>
      <c r="BT117" s="54"/>
      <c r="BU117" s="54"/>
      <c r="BV117" s="78">
        <f>8.52*2.1-(2.1*1.05)</f>
        <v>15.686999999999999</v>
      </c>
      <c r="BW117" s="54"/>
      <c r="BX117" s="78">
        <f>9.86*2.1-(2.1*1.05)</f>
        <v>18.500999999999998</v>
      </c>
      <c r="BY117" s="78">
        <f>9.86*2.1-(2.1*1.05)</f>
        <v>18.500999999999998</v>
      </c>
      <c r="BZ117" s="54"/>
      <c r="CA117" s="78">
        <f>6.96*2.1-(2.1*1.01)</f>
        <v>12.494999999999999</v>
      </c>
      <c r="CB117" s="78">
        <f>6.96*2.1-(2.1*1.01)</f>
        <v>12.494999999999999</v>
      </c>
      <c r="CC117" s="54"/>
      <c r="CD117" s="54"/>
      <c r="CE117" s="54"/>
      <c r="CF117" s="54"/>
      <c r="CG117" s="54"/>
      <c r="CH117" s="54"/>
      <c r="CI117" s="54"/>
      <c r="CJ117" s="54"/>
      <c r="CK117" s="139">
        <f t="shared" si="31"/>
        <v>1741.4903999999997</v>
      </c>
      <c r="CL117" s="94"/>
      <c r="CM117" s="13"/>
      <c r="CN117" s="13"/>
      <c r="CO117" s="13"/>
      <c r="CP117" s="13"/>
      <c r="CQ117" s="192" t="s">
        <v>317</v>
      </c>
      <c r="CR117" s="146"/>
      <c r="CS117" s="149"/>
    </row>
    <row r="118" spans="1:97" ht="33.75" customHeight="1" x14ac:dyDescent="0.25">
      <c r="A118" s="92"/>
      <c r="B118" s="26" t="s">
        <v>204</v>
      </c>
      <c r="C118" s="93" t="s">
        <v>11</v>
      </c>
      <c r="D118" s="54"/>
      <c r="E118" s="54"/>
      <c r="F118" s="54"/>
      <c r="G118" s="54"/>
      <c r="H118" s="54">
        <f>2.5</f>
        <v>2.5</v>
      </c>
      <c r="I118" s="54"/>
      <c r="J118" s="54"/>
      <c r="K118" s="54"/>
      <c r="L118" s="54"/>
      <c r="M118" s="54">
        <v>2.5</v>
      </c>
      <c r="N118" s="54"/>
      <c r="O118" s="54"/>
      <c r="P118" s="54"/>
      <c r="Q118" s="54"/>
      <c r="R118" s="54">
        <v>1.5</v>
      </c>
      <c r="S118" s="54"/>
      <c r="T118" s="54"/>
      <c r="U118" s="54"/>
      <c r="V118" s="54"/>
      <c r="W118" s="54">
        <v>1.5</v>
      </c>
      <c r="X118" s="89"/>
      <c r="Y118" s="89"/>
      <c r="Z118" s="54"/>
      <c r="AA118" s="54"/>
      <c r="AB118" s="89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4"/>
      <c r="BR118" s="54"/>
      <c r="BS118" s="54"/>
      <c r="BT118" s="54"/>
      <c r="BU118" s="54"/>
      <c r="BV118" s="54"/>
      <c r="BW118" s="54"/>
      <c r="BX118" s="54"/>
      <c r="BY118" s="54"/>
      <c r="BZ118" s="54"/>
      <c r="CA118" s="54"/>
      <c r="CB118" s="54"/>
      <c r="CC118" s="54"/>
      <c r="CD118" s="54"/>
      <c r="CE118" s="54"/>
      <c r="CF118" s="54"/>
      <c r="CG118" s="54"/>
      <c r="CH118" s="54"/>
      <c r="CI118" s="54"/>
      <c r="CJ118" s="54"/>
      <c r="CK118" s="139">
        <f t="shared" si="31"/>
        <v>8</v>
      </c>
      <c r="CL118" s="94"/>
      <c r="CM118" s="13"/>
      <c r="CN118" s="13"/>
      <c r="CO118" s="13"/>
      <c r="CP118" s="13"/>
      <c r="CQ118" s="94" t="s">
        <v>316</v>
      </c>
      <c r="CR118" s="146"/>
      <c r="CS118" s="149"/>
    </row>
    <row r="119" spans="1:97" x14ac:dyDescent="0.25">
      <c r="A119" s="92"/>
      <c r="B119" s="26" t="s">
        <v>203</v>
      </c>
      <c r="C119" s="93"/>
      <c r="D119" s="54">
        <f>D120</f>
        <v>100.6503</v>
      </c>
      <c r="E119" s="54">
        <f t="shared" ref="E119:BP119" si="32">E120</f>
        <v>93.001000000000005</v>
      </c>
      <c r="F119" s="54">
        <f t="shared" si="32"/>
        <v>23.2758</v>
      </c>
      <c r="G119" s="54">
        <f t="shared" si="32"/>
        <v>34.735199999999999</v>
      </c>
      <c r="H119" s="54">
        <f t="shared" si="32"/>
        <v>86.03370000000001</v>
      </c>
      <c r="I119" s="54">
        <f t="shared" si="32"/>
        <v>107.08990000000001</v>
      </c>
      <c r="J119" s="54">
        <f t="shared" si="32"/>
        <v>101.67460000000001</v>
      </c>
      <c r="K119" s="54">
        <f t="shared" si="32"/>
        <v>19.5702</v>
      </c>
      <c r="L119" s="54">
        <f t="shared" si="32"/>
        <v>39.159700000000001</v>
      </c>
      <c r="M119" s="54">
        <f t="shared" si="32"/>
        <v>85.066500000000019</v>
      </c>
      <c r="N119" s="54">
        <f t="shared" si="32"/>
        <v>107.08990000000001</v>
      </c>
      <c r="O119" s="54">
        <f t="shared" si="32"/>
        <v>101.67460000000001</v>
      </c>
      <c r="P119" s="54">
        <f t="shared" si="32"/>
        <v>19.650800000000004</v>
      </c>
      <c r="Q119" s="54">
        <f t="shared" si="32"/>
        <v>39.159700000000001</v>
      </c>
      <c r="R119" s="54">
        <f t="shared" si="32"/>
        <v>85.623200000000011</v>
      </c>
      <c r="S119" s="54">
        <f t="shared" si="32"/>
        <v>100.6503</v>
      </c>
      <c r="T119" s="54">
        <f t="shared" si="32"/>
        <v>93.001000000000005</v>
      </c>
      <c r="U119" s="54">
        <f t="shared" si="32"/>
        <v>23.2758</v>
      </c>
      <c r="V119" s="54">
        <f t="shared" si="32"/>
        <v>34.735199999999999</v>
      </c>
      <c r="W119" s="54">
        <f t="shared" si="32"/>
        <v>87.477000000000004</v>
      </c>
      <c r="X119" s="54">
        <f t="shared" si="32"/>
        <v>0</v>
      </c>
      <c r="Y119" s="54">
        <f t="shared" si="32"/>
        <v>0</v>
      </c>
      <c r="Z119" s="54">
        <f t="shared" si="32"/>
        <v>0</v>
      </c>
      <c r="AA119" s="54">
        <f t="shared" si="32"/>
        <v>15.120000000000003</v>
      </c>
      <c r="AB119" s="54">
        <f t="shared" si="32"/>
        <v>0</v>
      </c>
      <c r="AC119" s="54">
        <f t="shared" si="32"/>
        <v>0</v>
      </c>
      <c r="AD119" s="54">
        <f t="shared" si="32"/>
        <v>15.050000000000002</v>
      </c>
      <c r="AE119" s="54">
        <f t="shared" si="32"/>
        <v>0</v>
      </c>
      <c r="AF119" s="54">
        <f t="shared" si="32"/>
        <v>0</v>
      </c>
      <c r="AG119" s="54">
        <f t="shared" si="32"/>
        <v>0</v>
      </c>
      <c r="AH119" s="54">
        <f t="shared" si="32"/>
        <v>0</v>
      </c>
      <c r="AI119" s="54">
        <f t="shared" si="32"/>
        <v>0</v>
      </c>
      <c r="AJ119" s="54">
        <f t="shared" si="32"/>
        <v>21.075600000000001</v>
      </c>
      <c r="AK119" s="54">
        <f t="shared" si="32"/>
        <v>30.802800000000005</v>
      </c>
      <c r="AL119" s="54">
        <f t="shared" si="32"/>
        <v>20.110600000000005</v>
      </c>
      <c r="AM119" s="54">
        <f t="shared" si="32"/>
        <v>31.353599999999993</v>
      </c>
      <c r="AN119" s="54">
        <f t="shared" si="32"/>
        <v>64.929000000000002</v>
      </c>
      <c r="AO119" s="54">
        <f t="shared" si="32"/>
        <v>25.738800000000005</v>
      </c>
      <c r="AP119" s="54">
        <f t="shared" si="32"/>
        <v>18.155999999999992</v>
      </c>
      <c r="AQ119" s="54">
        <f t="shared" si="32"/>
        <v>0</v>
      </c>
      <c r="AR119" s="54">
        <f t="shared" si="32"/>
        <v>0</v>
      </c>
      <c r="AS119" s="54">
        <f t="shared" si="32"/>
        <v>20.044799999999995</v>
      </c>
      <c r="AT119" s="54">
        <f t="shared" si="32"/>
        <v>0</v>
      </c>
      <c r="AU119" s="54">
        <f t="shared" si="32"/>
        <v>0</v>
      </c>
      <c r="AV119" s="54">
        <f t="shared" si="32"/>
        <v>0</v>
      </c>
      <c r="AW119" s="54">
        <f t="shared" si="32"/>
        <v>0</v>
      </c>
      <c r="AX119" s="54">
        <f t="shared" si="32"/>
        <v>0</v>
      </c>
      <c r="AY119" s="54">
        <f t="shared" si="32"/>
        <v>0</v>
      </c>
      <c r="AZ119" s="54">
        <f t="shared" si="32"/>
        <v>0</v>
      </c>
      <c r="BA119" s="54">
        <f t="shared" si="32"/>
        <v>30.278400000000001</v>
      </c>
      <c r="BB119" s="54">
        <f>BB121</f>
        <v>36.458999999999996</v>
      </c>
      <c r="BC119" s="54">
        <f t="shared" si="32"/>
        <v>13.4016</v>
      </c>
      <c r="BD119" s="54">
        <f t="shared" si="32"/>
        <v>0</v>
      </c>
      <c r="BE119" s="54">
        <f t="shared" si="32"/>
        <v>0</v>
      </c>
      <c r="BF119" s="54">
        <f t="shared" si="32"/>
        <v>0</v>
      </c>
      <c r="BG119" s="54">
        <f t="shared" si="32"/>
        <v>110.91740000000001</v>
      </c>
      <c r="BH119" s="54">
        <f t="shared" si="32"/>
        <v>0</v>
      </c>
      <c r="BI119" s="54">
        <f t="shared" si="32"/>
        <v>0</v>
      </c>
      <c r="BJ119" s="54">
        <f t="shared" si="32"/>
        <v>35.771699999999996</v>
      </c>
      <c r="BK119" s="54">
        <f t="shared" si="32"/>
        <v>16.358399999999993</v>
      </c>
      <c r="BL119" s="54">
        <f t="shared" si="32"/>
        <v>0</v>
      </c>
      <c r="BM119" s="54">
        <f t="shared" si="32"/>
        <v>16.358399999999996</v>
      </c>
      <c r="BN119" s="54">
        <f t="shared" si="32"/>
        <v>43.581399999999988</v>
      </c>
      <c r="BO119" s="54">
        <f t="shared" si="32"/>
        <v>56.854199999999992</v>
      </c>
      <c r="BP119" s="54">
        <f t="shared" si="32"/>
        <v>14.015999999999998</v>
      </c>
      <c r="BQ119" s="54">
        <f>BQ121</f>
        <v>61.763999999999996</v>
      </c>
      <c r="BR119" s="54">
        <f>BR121</f>
        <v>33.397199999999991</v>
      </c>
      <c r="BS119" s="54">
        <f t="shared" ref="BS119:CB119" si="33">BS120</f>
        <v>14.783999999999997</v>
      </c>
      <c r="BT119" s="54">
        <f t="shared" si="33"/>
        <v>190.36499999999998</v>
      </c>
      <c r="BU119" s="54">
        <f t="shared" si="33"/>
        <v>289.89959999999996</v>
      </c>
      <c r="BV119" s="54">
        <f t="shared" si="33"/>
        <v>16.358399999999996</v>
      </c>
      <c r="BW119" s="54">
        <f>BW122</f>
        <v>65.73299999999999</v>
      </c>
      <c r="BX119" s="54">
        <f t="shared" si="33"/>
        <v>18.931199999999997</v>
      </c>
      <c r="BY119" s="54">
        <f t="shared" si="33"/>
        <v>18.931199999999997</v>
      </c>
      <c r="BZ119" s="54">
        <f t="shared" si="33"/>
        <v>32.818799999999996</v>
      </c>
      <c r="CA119" s="54">
        <f t="shared" si="33"/>
        <v>13.363199999999997</v>
      </c>
      <c r="CB119" s="54">
        <f t="shared" si="33"/>
        <v>10.4688</v>
      </c>
      <c r="CC119" s="54">
        <f>CC121</f>
        <v>286.67449999999997</v>
      </c>
      <c r="CD119" s="54"/>
      <c r="CE119" s="54">
        <f>CE121</f>
        <v>303.48629999999997</v>
      </c>
      <c r="CF119" s="54"/>
      <c r="CG119" s="54">
        <f>CG121</f>
        <v>286.67449999999997</v>
      </c>
      <c r="CH119" s="54"/>
      <c r="CI119" s="54"/>
      <c r="CJ119" s="54"/>
      <c r="CK119" s="139">
        <f t="shared" si="31"/>
        <v>3662.6217999999999</v>
      </c>
      <c r="CL119" s="94"/>
      <c r="CM119" s="13"/>
      <c r="CN119" s="13"/>
      <c r="CO119" s="13"/>
      <c r="CP119" s="13"/>
      <c r="CQ119" s="13"/>
      <c r="CR119" s="146"/>
      <c r="CS119" s="149"/>
    </row>
    <row r="120" spans="1:97" x14ac:dyDescent="0.25">
      <c r="A120" s="92"/>
      <c r="B120" s="5" t="s">
        <v>255</v>
      </c>
      <c r="C120" s="93" t="s">
        <v>11</v>
      </c>
      <c r="D120" s="54">
        <f>D115</f>
        <v>100.6503</v>
      </c>
      <c r="E120" s="54">
        <f>E115</f>
        <v>93.001000000000005</v>
      </c>
      <c r="F120" s="54">
        <f>F116-F117</f>
        <v>23.2758</v>
      </c>
      <c r="G120" s="54">
        <f>G116-G117</f>
        <v>34.735199999999999</v>
      </c>
      <c r="H120" s="54">
        <f>H115-H118</f>
        <v>86.03370000000001</v>
      </c>
      <c r="I120" s="54">
        <f>I115</f>
        <v>107.08990000000001</v>
      </c>
      <c r="J120" s="54">
        <f>J115</f>
        <v>101.67460000000001</v>
      </c>
      <c r="K120" s="54">
        <f>K116-K117</f>
        <v>19.5702</v>
      </c>
      <c r="L120" s="54">
        <f>L116-L117</f>
        <v>39.159700000000001</v>
      </c>
      <c r="M120" s="54">
        <f>M115-M118</f>
        <v>85.066500000000019</v>
      </c>
      <c r="N120" s="54">
        <f>N115</f>
        <v>107.08990000000001</v>
      </c>
      <c r="O120" s="54">
        <f>O115</f>
        <v>101.67460000000001</v>
      </c>
      <c r="P120" s="54">
        <f>P116-P117</f>
        <v>19.650800000000004</v>
      </c>
      <c r="Q120" s="54">
        <f>Q116-Q117</f>
        <v>39.159700000000001</v>
      </c>
      <c r="R120" s="54">
        <f>R115-R118</f>
        <v>85.623200000000011</v>
      </c>
      <c r="S120" s="54">
        <f>S115</f>
        <v>100.6503</v>
      </c>
      <c r="T120" s="54">
        <f>T115</f>
        <v>93.001000000000005</v>
      </c>
      <c r="U120" s="54">
        <f>U116-U117</f>
        <v>23.2758</v>
      </c>
      <c r="V120" s="54">
        <f>V116-V117</f>
        <v>34.735199999999999</v>
      </c>
      <c r="W120" s="54">
        <f>W115-W118</f>
        <v>87.477000000000004</v>
      </c>
      <c r="X120" s="54"/>
      <c r="Y120" s="54"/>
      <c r="Z120" s="54"/>
      <c r="AA120" s="90">
        <f>AA116-AA117</f>
        <v>15.120000000000003</v>
      </c>
      <c r="AB120" s="54"/>
      <c r="AC120" s="54"/>
      <c r="AD120" s="90">
        <f>AD116-AD117</f>
        <v>15.050000000000002</v>
      </c>
      <c r="AE120" s="54"/>
      <c r="AF120" s="54"/>
      <c r="AG120" s="54"/>
      <c r="AH120" s="54"/>
      <c r="AI120" s="54"/>
      <c r="AJ120" s="54">
        <f>AJ116-AJ117</f>
        <v>21.075600000000001</v>
      </c>
      <c r="AK120" s="54">
        <f>AK116-AK117</f>
        <v>30.802800000000005</v>
      </c>
      <c r="AL120" s="90">
        <f>AL116-AL117</f>
        <v>20.110600000000005</v>
      </c>
      <c r="AM120" s="90">
        <f>AM116-AM117</f>
        <v>31.353599999999993</v>
      </c>
      <c r="AN120" s="54">
        <f>AN115</f>
        <v>64.929000000000002</v>
      </c>
      <c r="AO120" s="54">
        <f>AO116-AO117</f>
        <v>25.738800000000005</v>
      </c>
      <c r="AP120" s="54">
        <f>AP116-AP117</f>
        <v>18.155999999999992</v>
      </c>
      <c r="AQ120" s="54"/>
      <c r="AR120" s="54"/>
      <c r="AS120" s="90">
        <f>AS116-AS117</f>
        <v>20.044799999999995</v>
      </c>
      <c r="AT120" s="54"/>
      <c r="AU120" s="54"/>
      <c r="AV120" s="54"/>
      <c r="AW120" s="54"/>
      <c r="AX120" s="54"/>
      <c r="AY120" s="54"/>
      <c r="AZ120" s="54"/>
      <c r="BA120" s="90">
        <f>BA116-BA117</f>
        <v>30.278400000000001</v>
      </c>
      <c r="BB120" s="54"/>
      <c r="BC120" s="90">
        <f>BC116-BC117</f>
        <v>13.4016</v>
      </c>
      <c r="BD120" s="54"/>
      <c r="BE120" s="54"/>
      <c r="BF120" s="54"/>
      <c r="BG120" s="54">
        <f>BG116</f>
        <v>110.91740000000001</v>
      </c>
      <c r="BH120" s="54"/>
      <c r="BI120" s="54"/>
      <c r="BJ120" s="54">
        <f>BJ116</f>
        <v>35.771699999999996</v>
      </c>
      <c r="BK120" s="54">
        <f>BK116-BK117</f>
        <v>16.358399999999993</v>
      </c>
      <c r="BL120" s="54"/>
      <c r="BM120" s="54">
        <f>BM116-BM117</f>
        <v>16.358399999999996</v>
      </c>
      <c r="BN120" s="54">
        <f>BN115</f>
        <v>43.581399999999988</v>
      </c>
      <c r="BO120" s="54">
        <f>BO115</f>
        <v>56.854199999999992</v>
      </c>
      <c r="BP120" s="54">
        <f>BP115-BP117</f>
        <v>14.015999999999998</v>
      </c>
      <c r="BQ120" s="54"/>
      <c r="BR120" s="54"/>
      <c r="BS120" s="54">
        <f>BS116-BS117</f>
        <v>14.783999999999997</v>
      </c>
      <c r="BT120" s="54">
        <f>BT115</f>
        <v>190.36499999999998</v>
      </c>
      <c r="BU120" s="54">
        <f>BU115</f>
        <v>289.89959999999996</v>
      </c>
      <c r="BV120" s="54">
        <f>BV116-BV117</f>
        <v>16.358399999999996</v>
      </c>
      <c r="BW120" s="54"/>
      <c r="BX120" s="54">
        <f>BX116-BX117</f>
        <v>18.931199999999997</v>
      </c>
      <c r="BY120" s="54">
        <f>BY116-BY117</f>
        <v>18.931199999999997</v>
      </c>
      <c r="BZ120" s="54">
        <f>BZ116</f>
        <v>32.818799999999996</v>
      </c>
      <c r="CA120" s="54">
        <f>CA116-CA117</f>
        <v>13.363199999999997</v>
      </c>
      <c r="CB120" s="54">
        <f>CB116-CB117</f>
        <v>10.4688</v>
      </c>
      <c r="CC120" s="54"/>
      <c r="CD120" s="54"/>
      <c r="CE120" s="54"/>
      <c r="CF120" s="54"/>
      <c r="CG120" s="54"/>
      <c r="CH120" s="54"/>
      <c r="CI120" s="54"/>
      <c r="CJ120" s="54"/>
      <c r="CK120" s="139">
        <f t="shared" si="31"/>
        <v>2588.4333000000001</v>
      </c>
      <c r="CL120" s="94"/>
      <c r="CM120" s="13"/>
      <c r="CN120" s="13"/>
      <c r="CO120" s="13"/>
      <c r="CP120" s="13"/>
      <c r="CQ120" s="94" t="s">
        <v>312</v>
      </c>
      <c r="CR120" s="146"/>
      <c r="CS120" s="149"/>
    </row>
    <row r="121" spans="1:97" ht="47.25" x14ac:dyDescent="0.25">
      <c r="A121" s="92"/>
      <c r="B121" s="5" t="s">
        <v>254</v>
      </c>
      <c r="C121" s="93" t="s">
        <v>11</v>
      </c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90"/>
      <c r="AB121" s="54"/>
      <c r="AC121" s="54"/>
      <c r="AD121" s="90"/>
      <c r="AE121" s="54"/>
      <c r="AF121" s="54"/>
      <c r="AG121" s="54"/>
      <c r="AH121" s="54"/>
      <c r="AI121" s="54"/>
      <c r="AJ121" s="54"/>
      <c r="AK121" s="54"/>
      <c r="AL121" s="90"/>
      <c r="AM121" s="90"/>
      <c r="AN121" s="54"/>
      <c r="AO121" s="54"/>
      <c r="AP121" s="54"/>
      <c r="AQ121" s="54"/>
      <c r="AR121" s="54"/>
      <c r="AS121" s="90"/>
      <c r="AT121" s="54"/>
      <c r="AU121" s="54"/>
      <c r="AV121" s="54"/>
      <c r="AW121" s="54"/>
      <c r="AX121" s="54"/>
      <c r="AY121" s="54"/>
      <c r="AZ121" s="54"/>
      <c r="BA121" s="90"/>
      <c r="BB121" s="54">
        <f>BB116</f>
        <v>36.458999999999996</v>
      </c>
      <c r="BC121" s="90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4">
        <f>BQ115</f>
        <v>61.763999999999996</v>
      </c>
      <c r="BR121" s="83">
        <f>BR115</f>
        <v>33.397199999999991</v>
      </c>
      <c r="BS121" s="54"/>
      <c r="BT121" s="54"/>
      <c r="BU121" s="54"/>
      <c r="BV121" s="54"/>
      <c r="BW121" s="54"/>
      <c r="BX121" s="54"/>
      <c r="BY121" s="54"/>
      <c r="BZ121" s="54"/>
      <c r="CA121" s="54"/>
      <c r="CB121" s="54"/>
      <c r="CC121" s="54">
        <f>CC115</f>
        <v>286.67449999999997</v>
      </c>
      <c r="CD121" s="54">
        <f>CD116+CD114</f>
        <v>45.450200000000009</v>
      </c>
      <c r="CE121" s="54">
        <f>CE115</f>
        <v>303.48629999999997</v>
      </c>
      <c r="CF121" s="54">
        <f>CF116+CF114</f>
        <v>37.1922</v>
      </c>
      <c r="CG121" s="54">
        <f>CG115</f>
        <v>286.67449999999997</v>
      </c>
      <c r="CH121" s="54">
        <f>CH116+CH114</f>
        <v>50.731999999999999</v>
      </c>
      <c r="CI121" s="54">
        <f>CI116+CI114</f>
        <v>25.384399999999999</v>
      </c>
      <c r="CJ121" s="54">
        <f>CJ116+CJ114</f>
        <v>25.384399999999999</v>
      </c>
      <c r="CK121" s="139">
        <f t="shared" si="31"/>
        <v>1192.5986999999996</v>
      </c>
      <c r="CL121" s="94"/>
      <c r="CM121" s="13"/>
      <c r="CN121" s="13"/>
      <c r="CO121" s="13"/>
      <c r="CP121" s="13"/>
      <c r="CQ121" s="94" t="s">
        <v>315</v>
      </c>
      <c r="CR121" s="146"/>
      <c r="CS121" s="149"/>
    </row>
    <row r="122" spans="1:97" x14ac:dyDescent="0.25">
      <c r="A122" s="92"/>
      <c r="B122" s="26" t="s">
        <v>237</v>
      </c>
      <c r="C122" s="93" t="s">
        <v>11</v>
      </c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54"/>
      <c r="Y122" s="54"/>
      <c r="Z122" s="54"/>
      <c r="AA122" s="90"/>
      <c r="AB122" s="54"/>
      <c r="AC122" s="54"/>
      <c r="AD122" s="90"/>
      <c r="AE122" s="10"/>
      <c r="AF122" s="10"/>
      <c r="AG122" s="10"/>
      <c r="AH122" s="10"/>
      <c r="AI122" s="10"/>
      <c r="AJ122" s="10"/>
      <c r="AK122" s="10"/>
      <c r="AL122" s="91"/>
      <c r="AM122" s="91"/>
      <c r="AN122" s="10"/>
      <c r="AO122" s="10"/>
      <c r="AP122" s="10"/>
      <c r="AQ122" s="10"/>
      <c r="AR122" s="10"/>
      <c r="AS122" s="91"/>
      <c r="AT122" s="10"/>
      <c r="AU122" s="10"/>
      <c r="AV122" s="10"/>
      <c r="AW122" s="10"/>
      <c r="AX122" s="10"/>
      <c r="AY122" s="10"/>
      <c r="AZ122" s="10"/>
      <c r="BA122" s="90"/>
      <c r="BB122" s="54"/>
      <c r="BC122" s="90"/>
      <c r="BD122" s="10"/>
      <c r="BE122" s="10"/>
      <c r="BF122" s="10"/>
      <c r="BG122" s="54"/>
      <c r="BH122" s="10"/>
      <c r="BI122" s="10"/>
      <c r="BJ122" s="54"/>
      <c r="BK122" s="54"/>
      <c r="BL122" s="10"/>
      <c r="BM122" s="10"/>
      <c r="BN122" s="54"/>
      <c r="BO122" s="10"/>
      <c r="BP122" s="10"/>
      <c r="BQ122" s="54"/>
      <c r="BR122" s="83"/>
      <c r="BS122" s="54"/>
      <c r="BT122" s="54"/>
      <c r="BU122" s="54"/>
      <c r="BV122" s="54"/>
      <c r="BW122" s="54">
        <f>BW116</f>
        <v>65.73299999999999</v>
      </c>
      <c r="BX122" s="54"/>
      <c r="BY122" s="54"/>
      <c r="BZ122" s="54"/>
      <c r="CA122" s="54"/>
      <c r="CB122" s="54"/>
      <c r="CC122" s="54"/>
      <c r="CD122" s="10"/>
      <c r="CE122" s="54"/>
      <c r="CF122" s="10"/>
      <c r="CG122" s="54"/>
      <c r="CH122" s="10"/>
      <c r="CI122" s="10"/>
      <c r="CJ122" s="10"/>
      <c r="CK122" s="139">
        <f t="shared" si="31"/>
        <v>65.73299999999999</v>
      </c>
      <c r="CL122" s="94"/>
      <c r="CM122" s="13"/>
      <c r="CN122" s="13"/>
      <c r="CO122" s="13"/>
      <c r="CP122" s="13"/>
      <c r="CQ122" s="13"/>
      <c r="CR122" s="146"/>
      <c r="CS122" s="149"/>
    </row>
    <row r="123" spans="1:97" ht="45" x14ac:dyDescent="0.25">
      <c r="A123" s="127" t="s">
        <v>262</v>
      </c>
      <c r="B123" s="123" t="s">
        <v>267</v>
      </c>
      <c r="C123" s="124"/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5"/>
      <c r="Y123" s="125"/>
      <c r="Z123" s="125"/>
      <c r="AA123" s="125"/>
      <c r="AB123" s="125"/>
      <c r="AC123" s="125"/>
      <c r="AD123" s="125"/>
      <c r="AE123" s="122"/>
      <c r="AF123" s="122"/>
      <c r="AG123" s="122"/>
      <c r="AH123" s="122"/>
      <c r="AI123" s="122"/>
      <c r="AJ123" s="122"/>
      <c r="AK123" s="122"/>
      <c r="AL123" s="122"/>
      <c r="AM123" s="122"/>
      <c r="AN123" s="122"/>
      <c r="AO123" s="122"/>
      <c r="AP123" s="122"/>
      <c r="AQ123" s="122"/>
      <c r="AR123" s="122"/>
      <c r="AS123" s="122"/>
      <c r="AT123" s="122"/>
      <c r="AU123" s="122"/>
      <c r="AV123" s="122"/>
      <c r="AW123" s="122"/>
      <c r="AX123" s="122"/>
      <c r="AY123" s="122"/>
      <c r="AZ123" s="122"/>
      <c r="BA123" s="125"/>
      <c r="BB123" s="125"/>
      <c r="BC123" s="125"/>
      <c r="BD123" s="122"/>
      <c r="BE123" s="122"/>
      <c r="BF123" s="122"/>
      <c r="BG123" s="125"/>
      <c r="BH123" s="122"/>
      <c r="BI123" s="122"/>
      <c r="BJ123" s="125"/>
      <c r="BK123" s="125"/>
      <c r="BL123" s="122"/>
      <c r="BM123" s="122"/>
      <c r="BN123" s="122"/>
      <c r="BO123" s="122"/>
      <c r="BP123" s="122"/>
      <c r="BQ123" s="122"/>
      <c r="BR123" s="122"/>
      <c r="BS123" s="122"/>
      <c r="BT123" s="122"/>
      <c r="BU123" s="122"/>
      <c r="BV123" s="122"/>
      <c r="BW123" s="122"/>
      <c r="BX123" s="122"/>
      <c r="BY123" s="122"/>
      <c r="BZ123" s="122"/>
      <c r="CA123" s="122"/>
      <c r="CB123" s="122"/>
      <c r="CC123" s="125"/>
      <c r="CD123" s="122"/>
      <c r="CE123" s="125"/>
      <c r="CF123" s="122"/>
      <c r="CG123" s="125"/>
      <c r="CH123" s="122"/>
      <c r="CI123" s="122"/>
      <c r="CJ123" s="122"/>
      <c r="CK123" s="122"/>
      <c r="CL123" s="94"/>
      <c r="CM123" s="13"/>
      <c r="CN123" s="13"/>
      <c r="CO123" s="13"/>
      <c r="CP123" s="13"/>
      <c r="CQ123" s="13"/>
      <c r="CR123" s="146"/>
      <c r="CS123" s="149"/>
    </row>
    <row r="124" spans="1:97" ht="30" x14ac:dyDescent="0.25">
      <c r="A124" s="92"/>
      <c r="B124" s="5" t="s">
        <v>219</v>
      </c>
      <c r="C124" s="93" t="s">
        <v>11</v>
      </c>
      <c r="D124" s="10">
        <f>(1.9+0.28+0.21)*3.9</f>
        <v>9.320999999999998</v>
      </c>
      <c r="E124" s="10"/>
      <c r="F124" s="10">
        <f>(0.3+0.34+0.285+0.6)*3.9</f>
        <v>5.9474999999999998</v>
      </c>
      <c r="G124" s="10">
        <f>(0.325+0.775)*3.9</f>
        <v>4.29</v>
      </c>
      <c r="H124" s="10"/>
      <c r="I124" s="10"/>
      <c r="J124" s="10">
        <f>(0.895+0.475)*3.9</f>
        <v>5.343</v>
      </c>
      <c r="K124" s="10">
        <f>(0.675+0.325)*3.9</f>
        <v>3.9</v>
      </c>
      <c r="L124" s="10">
        <f>(0.775+0.325)*3.9+(0.775+0.325)*3.9+(0.275+0.275+0.7)*3.9</f>
        <v>13.455</v>
      </c>
      <c r="M124" s="10"/>
      <c r="N124" s="10"/>
      <c r="O124" s="10"/>
      <c r="P124" s="10">
        <f>(0.675+0.3)*3.9</f>
        <v>3.8025000000000002</v>
      </c>
      <c r="Q124" s="10">
        <f>(0.275+0.275+0.7)*3.9+(0.775+0.325)*3.9*2</f>
        <v>13.455</v>
      </c>
      <c r="R124" s="10">
        <f>(0.285+0.285)*3.9</f>
        <v>2.2229999999999999</v>
      </c>
      <c r="S124" s="10"/>
      <c r="T124" s="10"/>
      <c r="U124" s="10">
        <f>(0.325+0.39+0.285+0.285)*3.9</f>
        <v>5.0114999999999998</v>
      </c>
      <c r="V124" s="10"/>
      <c r="W124" s="10">
        <f>(1.13+0.235)*3.9</f>
        <v>5.3234999999999992</v>
      </c>
      <c r="X124" s="54">
        <f>(0.69*3.9)</f>
        <v>2.6909999999999998</v>
      </c>
      <c r="Y124" s="54"/>
      <c r="Z124" s="54"/>
      <c r="AA124" s="90">
        <f>(0.275+0.645)*3.9</f>
        <v>3.5880000000000001</v>
      </c>
      <c r="AB124" s="54"/>
      <c r="AC124" s="54"/>
      <c r="AD124" s="90">
        <f>(0.675+0.325)*3.9+(0.725+0.275)*3.9</f>
        <v>7.8</v>
      </c>
      <c r="AE124" s="10"/>
      <c r="AF124" s="10">
        <f>(0.775+0.325)*3.9</f>
        <v>4.29</v>
      </c>
      <c r="AG124" s="10"/>
      <c r="AH124" s="10"/>
      <c r="AI124" s="10"/>
      <c r="AJ124" s="10"/>
      <c r="AK124" s="10"/>
      <c r="AL124" s="91"/>
      <c r="AM124" s="91">
        <f>(0.285+0.285+0.36)*3.9</f>
        <v>3.6269999999999998</v>
      </c>
      <c r="AN124" s="10">
        <f>(0.3+0.3+0.6)*3.9</f>
        <v>4.68</v>
      </c>
      <c r="AO124" s="10"/>
      <c r="AP124" s="10">
        <f>(0.775+0.325)*3.9</f>
        <v>4.29</v>
      </c>
      <c r="AQ124" s="10"/>
      <c r="AR124" s="10"/>
      <c r="AS124" s="91"/>
      <c r="AT124" s="10"/>
      <c r="AU124" s="10"/>
      <c r="AV124" s="10"/>
      <c r="AW124" s="10"/>
      <c r="AX124" s="10">
        <f>(1.425+0.235)*3.9</f>
        <v>6.4740000000000002</v>
      </c>
      <c r="AY124" s="10"/>
      <c r="AZ124" s="10"/>
      <c r="BA124" s="90"/>
      <c r="BB124" s="54"/>
      <c r="BC124" s="90">
        <f>(0.3+0.775)*3.9</f>
        <v>4.1924999999999999</v>
      </c>
      <c r="BD124" s="10"/>
      <c r="BE124" s="10"/>
      <c r="BF124" s="10"/>
      <c r="BG124" s="54"/>
      <c r="BH124" s="10"/>
      <c r="BI124" s="10">
        <f>(0.665+0.575)*3.9</f>
        <v>4.8360000000000003</v>
      </c>
      <c r="BJ124" s="54"/>
      <c r="BK124" s="54">
        <f>(0.285+0.285)*3.9</f>
        <v>2.2229999999999999</v>
      </c>
      <c r="BL124" s="10">
        <f>(0.285+0.285+0.3)*3.9</f>
        <v>3.3929999999999993</v>
      </c>
      <c r="BM124" s="10"/>
      <c r="BN124" s="10"/>
      <c r="BO124" s="10"/>
      <c r="BP124" s="10">
        <f>(0.775+0.325)*3.9</f>
        <v>4.29</v>
      </c>
      <c r="BQ124" s="10"/>
      <c r="BR124" s="122"/>
      <c r="BS124" s="10">
        <f>(0.775+0.325)*3.9</f>
        <v>4.29</v>
      </c>
      <c r="BT124" s="10"/>
      <c r="BU124" s="10"/>
      <c r="BV124" s="10">
        <f>(0.775+0.325)*3.9+(0.325+0.775)*3.9</f>
        <v>8.58</v>
      </c>
      <c r="BW124" s="10"/>
      <c r="BX124" s="10">
        <f>(0.75+0.3)*3.9</f>
        <v>4.0949999999999998</v>
      </c>
      <c r="BY124" s="10"/>
      <c r="BZ124" s="10"/>
      <c r="CA124" s="10">
        <f>(0.775+0.325)*3.9</f>
        <v>4.29</v>
      </c>
      <c r="CB124" s="10"/>
      <c r="CC124" s="54"/>
      <c r="CD124" s="10"/>
      <c r="CE124" s="54">
        <f>(2.87+0.315)*3.9</f>
        <v>12.4215</v>
      </c>
      <c r="CF124" s="10"/>
      <c r="CG124" s="54"/>
      <c r="CH124" s="10"/>
      <c r="CI124" s="10"/>
      <c r="CJ124" s="10"/>
      <c r="CK124" s="140">
        <f>SUM(D124:CJ124)</f>
        <v>162.12299999999999</v>
      </c>
      <c r="CL124" s="94"/>
      <c r="CM124" s="13"/>
      <c r="CN124" s="13"/>
      <c r="CO124" s="13"/>
      <c r="CP124" s="13"/>
      <c r="CQ124" s="13"/>
      <c r="CR124" s="146"/>
      <c r="CS124" s="149"/>
    </row>
    <row r="125" spans="1:97" ht="30" x14ac:dyDescent="0.25">
      <c r="A125" s="92"/>
      <c r="B125" s="5" t="s">
        <v>220</v>
      </c>
      <c r="C125" s="93" t="s">
        <v>11</v>
      </c>
      <c r="D125" s="10">
        <f>(1.3+0.3+0.3)*0.75*3</f>
        <v>4.2750000000000004</v>
      </c>
      <c r="E125" s="10">
        <f>(1.4+0.3+0.3)*0.75*5</f>
        <v>7.5</v>
      </c>
      <c r="F125" s="10"/>
      <c r="G125" s="10"/>
      <c r="H125" s="10">
        <f>(1.4+0.3+0.3)*0.75</f>
        <v>1.5</v>
      </c>
      <c r="I125" s="10">
        <f>(1.5+0.3+0.3)*0.75+(0.8+0.3+0.3)*2*0.75</f>
        <v>3.6750000000000003</v>
      </c>
      <c r="J125" s="10">
        <f>(1.4+0.3+0.3)*0.75*2+(1.5+0+0.3)*2*0.75</f>
        <v>5.7</v>
      </c>
      <c r="K125" s="10"/>
      <c r="L125" s="10"/>
      <c r="M125" s="10">
        <f>(1.1+0.3+0.3)*0.75</f>
        <v>1.2750000000000001</v>
      </c>
      <c r="N125" s="10">
        <f>(1.4+0.3+0.3)*2*0.75</f>
        <v>3</v>
      </c>
      <c r="O125" s="10">
        <f>(1.1+0.3+0.3)*2*0.75+(0.8+0.3+0.3)*0.75*2</f>
        <v>4.6500000000000004</v>
      </c>
      <c r="P125" s="10"/>
      <c r="Q125" s="10"/>
      <c r="R125" s="10">
        <f>(1.4+0.3+0.3)*0.75</f>
        <v>1.5</v>
      </c>
      <c r="S125" s="10">
        <f>(1.5+0.3+0.3)*0.75*2+(1.6+0.3+0.3)*0.75</f>
        <v>4.8000000000000007</v>
      </c>
      <c r="T125" s="10">
        <f>(1.6+0.3+0.3)*2*0.75+(0.8+0.3+0.3)*0.75</f>
        <v>4.3500000000000005</v>
      </c>
      <c r="U125" s="10"/>
      <c r="V125" s="10"/>
      <c r="W125" s="10">
        <f>(1.1+0.3+0.3)*0.75</f>
        <v>1.2750000000000001</v>
      </c>
      <c r="X125" s="54"/>
      <c r="Y125" s="54"/>
      <c r="Z125" s="54"/>
      <c r="AA125" s="90"/>
      <c r="AB125" s="54"/>
      <c r="AC125" s="54"/>
      <c r="AD125" s="90"/>
      <c r="AE125" s="10"/>
      <c r="AF125" s="10"/>
      <c r="AG125" s="10"/>
      <c r="AH125" s="10"/>
      <c r="AI125" s="10"/>
      <c r="AJ125" s="10"/>
      <c r="AK125" s="10"/>
      <c r="AL125" s="91"/>
      <c r="AM125" s="91"/>
      <c r="AN125" s="10"/>
      <c r="AO125" s="10"/>
      <c r="AP125" s="10"/>
      <c r="AQ125" s="10">
        <f>(1+0.3+0.3)*0.75</f>
        <v>1.2000000000000002</v>
      </c>
      <c r="AR125" s="10">
        <f>(1.5+0.3+0.3)*0.75</f>
        <v>1.5750000000000002</v>
      </c>
      <c r="AS125" s="91"/>
      <c r="AT125" s="10"/>
      <c r="AU125" s="10"/>
      <c r="AV125" s="10"/>
      <c r="AW125" s="10"/>
      <c r="AX125" s="10"/>
      <c r="AY125" s="10"/>
      <c r="AZ125" s="10"/>
      <c r="BA125" s="90"/>
      <c r="BB125" s="54"/>
      <c r="BC125" s="90"/>
      <c r="BD125" s="10"/>
      <c r="BE125" s="10"/>
      <c r="BF125" s="10"/>
      <c r="BG125" s="54"/>
      <c r="BH125" s="10"/>
      <c r="BI125" s="10"/>
      <c r="BJ125" s="54"/>
      <c r="BK125" s="54"/>
      <c r="BL125" s="10"/>
      <c r="BM125" s="10"/>
      <c r="BN125" s="10"/>
      <c r="BO125" s="10"/>
      <c r="BP125" s="10"/>
      <c r="BQ125" s="10"/>
      <c r="BR125" s="122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54">
        <f>(1.5+0.3+0.3)*0.75</f>
        <v>1.5750000000000002</v>
      </c>
      <c r="CD125" s="10"/>
      <c r="CE125" s="54">
        <f>(1.2+0.3+0.3)*2*0.75</f>
        <v>2.7</v>
      </c>
      <c r="CF125" s="10"/>
      <c r="CG125" s="54">
        <f>(1.4+0.3+0.3)*0.75</f>
        <v>1.5</v>
      </c>
      <c r="CH125" s="10"/>
      <c r="CI125" s="10"/>
      <c r="CJ125" s="10"/>
      <c r="CK125" s="140">
        <f t="shared" ref="CK125:CK128" si="34">SUM(D125:CJ125)</f>
        <v>52.050000000000011</v>
      </c>
      <c r="CL125" s="94"/>
      <c r="CM125" s="13"/>
      <c r="CN125" s="13"/>
      <c r="CO125" s="13"/>
      <c r="CP125" s="13"/>
      <c r="CQ125" s="13"/>
      <c r="CR125" s="146"/>
      <c r="CS125" s="149"/>
    </row>
    <row r="126" spans="1:97" ht="30" x14ac:dyDescent="0.25">
      <c r="A126" s="92"/>
      <c r="B126" s="5" t="s">
        <v>226</v>
      </c>
      <c r="C126" s="93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54">
        <f>((1.3+0.3+0.3)*4*0.75)</f>
        <v>5.7</v>
      </c>
      <c r="Y126" s="54">
        <f>(1+0.3+0.3)*0.75+(0.5+0.3+0.3)*0.75</f>
        <v>2.0250000000000004</v>
      </c>
      <c r="Z126" s="54"/>
      <c r="AA126" s="90"/>
      <c r="AB126" s="54"/>
      <c r="AC126" s="54"/>
      <c r="AD126" s="90"/>
      <c r="AE126" s="10"/>
      <c r="AF126" s="10"/>
      <c r="AG126" s="10">
        <f>(1.4+0.3+0.3)*0.75</f>
        <v>1.5</v>
      </c>
      <c r="AH126" s="10"/>
      <c r="AI126" s="10"/>
      <c r="AJ126" s="10"/>
      <c r="AK126" s="10"/>
      <c r="AL126" s="91"/>
      <c r="AM126" s="91"/>
      <c r="AN126" s="10"/>
      <c r="AO126" s="10"/>
      <c r="AP126" s="10"/>
      <c r="AQ126" s="10"/>
      <c r="AR126" s="10"/>
      <c r="AS126" s="91"/>
      <c r="AT126" s="10"/>
      <c r="AU126" s="10"/>
      <c r="AV126" s="10"/>
      <c r="AW126" s="10"/>
      <c r="AX126" s="10"/>
      <c r="AY126" s="10"/>
      <c r="AZ126" s="10"/>
      <c r="BA126" s="90"/>
      <c r="BB126" s="54"/>
      <c r="BC126" s="90"/>
      <c r="BD126" s="10"/>
      <c r="BE126" s="10"/>
      <c r="BF126" s="10"/>
      <c r="BG126" s="54"/>
      <c r="BH126" s="10"/>
      <c r="BI126" s="10"/>
      <c r="BJ126" s="54"/>
      <c r="BK126" s="54"/>
      <c r="BL126" s="10"/>
      <c r="BM126" s="10"/>
      <c r="BN126" s="10"/>
      <c r="BO126" s="10"/>
      <c r="BP126" s="10"/>
      <c r="BQ126" s="10"/>
      <c r="BR126" s="122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54"/>
      <c r="CD126" s="10"/>
      <c r="CE126" s="54"/>
      <c r="CF126" s="10"/>
      <c r="CG126" s="54"/>
      <c r="CH126" s="10"/>
      <c r="CI126" s="10"/>
      <c r="CJ126" s="10"/>
      <c r="CK126" s="140">
        <f t="shared" si="34"/>
        <v>9.2250000000000014</v>
      </c>
      <c r="CL126" s="94"/>
      <c r="CM126" s="13"/>
      <c r="CN126" s="13"/>
      <c r="CO126" s="13"/>
      <c r="CP126" s="13"/>
      <c r="CQ126" s="13"/>
      <c r="CR126" s="146"/>
      <c r="CS126" s="149"/>
    </row>
    <row r="127" spans="1:97" ht="30" x14ac:dyDescent="0.25">
      <c r="A127" s="92"/>
      <c r="B127" s="5" t="s">
        <v>221</v>
      </c>
      <c r="C127" s="93" t="s">
        <v>15</v>
      </c>
      <c r="D127" s="10">
        <v>1</v>
      </c>
      <c r="E127" s="10"/>
      <c r="F127" s="10">
        <v>1</v>
      </c>
      <c r="G127" s="10">
        <v>1</v>
      </c>
      <c r="H127" s="10"/>
      <c r="I127" s="10"/>
      <c r="J127" s="10">
        <v>1</v>
      </c>
      <c r="K127" s="10">
        <v>1</v>
      </c>
      <c r="L127" s="10">
        <v>3</v>
      </c>
      <c r="M127" s="10"/>
      <c r="N127" s="10"/>
      <c r="O127" s="10"/>
      <c r="P127" s="10">
        <v>1</v>
      </c>
      <c r="Q127" s="10">
        <v>3</v>
      </c>
      <c r="R127" s="10">
        <v>1</v>
      </c>
      <c r="S127" s="10"/>
      <c r="T127" s="10"/>
      <c r="U127" s="10">
        <v>1</v>
      </c>
      <c r="V127" s="10"/>
      <c r="W127" s="10">
        <v>1</v>
      </c>
      <c r="X127" s="54"/>
      <c r="Y127" s="54"/>
      <c r="Z127" s="54"/>
      <c r="AA127" s="90">
        <v>1</v>
      </c>
      <c r="AB127" s="54"/>
      <c r="AC127" s="54"/>
      <c r="AD127" s="90">
        <v>2</v>
      </c>
      <c r="AE127" s="10"/>
      <c r="AF127" s="10">
        <v>1</v>
      </c>
      <c r="AG127" s="10"/>
      <c r="AH127" s="10"/>
      <c r="AI127" s="10"/>
      <c r="AJ127" s="10"/>
      <c r="AK127" s="10"/>
      <c r="AL127" s="91"/>
      <c r="AM127" s="91">
        <v>1</v>
      </c>
      <c r="AN127" s="10">
        <v>1</v>
      </c>
      <c r="AO127" s="10"/>
      <c r="AP127" s="10">
        <v>1</v>
      </c>
      <c r="AQ127" s="10"/>
      <c r="AR127" s="10"/>
      <c r="AS127" s="91"/>
      <c r="AT127" s="10"/>
      <c r="AU127" s="10"/>
      <c r="AV127" s="10"/>
      <c r="AW127" s="10"/>
      <c r="AX127" s="10">
        <v>1</v>
      </c>
      <c r="AY127" s="10"/>
      <c r="AZ127" s="10"/>
      <c r="BA127" s="90"/>
      <c r="BB127" s="54"/>
      <c r="BC127" s="90">
        <v>1</v>
      </c>
      <c r="BD127" s="10"/>
      <c r="BE127" s="10"/>
      <c r="BF127" s="10"/>
      <c r="BG127" s="54"/>
      <c r="BH127" s="10"/>
      <c r="BI127" s="10">
        <v>1</v>
      </c>
      <c r="BJ127" s="54"/>
      <c r="BK127" s="54"/>
      <c r="BL127" s="10">
        <v>1</v>
      </c>
      <c r="BM127" s="10"/>
      <c r="BN127" s="10"/>
      <c r="BO127" s="10"/>
      <c r="BP127" s="10">
        <v>1</v>
      </c>
      <c r="BQ127" s="10"/>
      <c r="BR127" s="122"/>
      <c r="BS127" s="10">
        <v>1</v>
      </c>
      <c r="BT127" s="10"/>
      <c r="BU127" s="10"/>
      <c r="BV127" s="10">
        <v>2</v>
      </c>
      <c r="BW127" s="10"/>
      <c r="BX127" s="10">
        <v>1</v>
      </c>
      <c r="BY127" s="10"/>
      <c r="BZ127" s="10"/>
      <c r="CA127" s="10">
        <v>1</v>
      </c>
      <c r="CB127" s="10"/>
      <c r="CC127" s="54"/>
      <c r="CD127" s="10"/>
      <c r="CE127" s="54">
        <v>1</v>
      </c>
      <c r="CF127" s="10"/>
      <c r="CG127" s="54"/>
      <c r="CH127" s="10"/>
      <c r="CI127" s="10"/>
      <c r="CJ127" s="10"/>
      <c r="CK127" s="140">
        <f t="shared" si="34"/>
        <v>33</v>
      </c>
      <c r="CL127" s="94"/>
      <c r="CM127" s="13"/>
      <c r="CN127" s="13"/>
      <c r="CO127" s="13"/>
      <c r="CP127" s="13"/>
      <c r="CQ127" s="13"/>
      <c r="CR127" s="146"/>
      <c r="CS127" s="149"/>
    </row>
    <row r="128" spans="1:97" ht="30" x14ac:dyDescent="0.25">
      <c r="A128" s="92"/>
      <c r="B128" s="5" t="s">
        <v>222</v>
      </c>
      <c r="C128" s="93" t="s">
        <v>15</v>
      </c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54">
        <v>1</v>
      </c>
      <c r="Y128" s="54"/>
      <c r="Z128" s="54"/>
      <c r="AA128" s="90"/>
      <c r="AB128" s="54"/>
      <c r="AC128" s="54"/>
      <c r="AD128" s="90"/>
      <c r="AE128" s="10"/>
      <c r="AF128" s="10"/>
      <c r="AG128" s="10"/>
      <c r="AH128" s="10"/>
      <c r="AI128" s="10"/>
      <c r="AJ128" s="10"/>
      <c r="AK128" s="10"/>
      <c r="AL128" s="91"/>
      <c r="AM128" s="91"/>
      <c r="AN128" s="10"/>
      <c r="AO128" s="10"/>
      <c r="AP128" s="10"/>
      <c r="AQ128" s="10"/>
      <c r="AR128" s="10"/>
      <c r="AS128" s="91"/>
      <c r="AT128" s="10"/>
      <c r="AU128" s="10"/>
      <c r="AV128" s="10"/>
      <c r="AW128" s="10"/>
      <c r="AX128" s="10"/>
      <c r="AY128" s="10"/>
      <c r="AZ128" s="10"/>
      <c r="BA128" s="90"/>
      <c r="BB128" s="54"/>
      <c r="BC128" s="90"/>
      <c r="BD128" s="10"/>
      <c r="BE128" s="10"/>
      <c r="BF128" s="10"/>
      <c r="BG128" s="54"/>
      <c r="BH128" s="10"/>
      <c r="BI128" s="10"/>
      <c r="BJ128" s="54"/>
      <c r="BK128" s="54">
        <v>1</v>
      </c>
      <c r="BL128" s="10"/>
      <c r="BM128" s="10"/>
      <c r="BN128" s="10"/>
      <c r="BO128" s="10"/>
      <c r="BP128" s="10"/>
      <c r="BQ128" s="10"/>
      <c r="BR128" s="122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54"/>
      <c r="CD128" s="10"/>
      <c r="CE128" s="54"/>
      <c r="CF128" s="10"/>
      <c r="CG128" s="54"/>
      <c r="CH128" s="10"/>
      <c r="CI128" s="10"/>
      <c r="CJ128" s="10"/>
      <c r="CK128" s="140">
        <f t="shared" si="34"/>
        <v>2</v>
      </c>
      <c r="CL128" s="94"/>
      <c r="CM128" s="13"/>
      <c r="CN128" s="13"/>
      <c r="CO128" s="13"/>
      <c r="CP128" s="13"/>
      <c r="CQ128" s="13"/>
      <c r="CR128" s="146"/>
      <c r="CS128" s="149"/>
    </row>
    <row r="129" spans="1:97" ht="30" x14ac:dyDescent="0.25">
      <c r="A129" s="127" t="s">
        <v>263</v>
      </c>
      <c r="B129" s="123" t="s">
        <v>224</v>
      </c>
      <c r="C129" s="124"/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2"/>
      <c r="X129" s="125"/>
      <c r="Y129" s="125"/>
      <c r="Z129" s="125"/>
      <c r="AA129" s="125"/>
      <c r="AB129" s="125"/>
      <c r="AC129" s="125"/>
      <c r="AD129" s="125"/>
      <c r="AE129" s="122"/>
      <c r="AF129" s="122"/>
      <c r="AG129" s="122"/>
      <c r="AH129" s="122"/>
      <c r="AI129" s="122"/>
      <c r="AJ129" s="122"/>
      <c r="AK129" s="122"/>
      <c r="AL129" s="122"/>
      <c r="AM129" s="122"/>
      <c r="AN129" s="122"/>
      <c r="AO129" s="122"/>
      <c r="AP129" s="122"/>
      <c r="AQ129" s="122"/>
      <c r="AR129" s="122"/>
      <c r="AS129" s="122"/>
      <c r="AT129" s="122"/>
      <c r="AU129" s="122"/>
      <c r="AV129" s="122"/>
      <c r="AW129" s="122"/>
      <c r="AX129" s="122"/>
      <c r="AY129" s="122"/>
      <c r="AZ129" s="122"/>
      <c r="BA129" s="125"/>
      <c r="BB129" s="125"/>
      <c r="BC129" s="125"/>
      <c r="BD129" s="122"/>
      <c r="BE129" s="122"/>
      <c r="BF129" s="122"/>
      <c r="BG129" s="125"/>
      <c r="BH129" s="122"/>
      <c r="BI129" s="122"/>
      <c r="BJ129" s="125"/>
      <c r="BK129" s="125"/>
      <c r="BL129" s="122"/>
      <c r="BM129" s="122"/>
      <c r="BN129" s="122"/>
      <c r="BO129" s="122"/>
      <c r="BP129" s="122"/>
      <c r="BQ129" s="122"/>
      <c r="BR129" s="122"/>
      <c r="BS129" s="122"/>
      <c r="BT129" s="122"/>
      <c r="BU129" s="122"/>
      <c r="BV129" s="122"/>
      <c r="BW129" s="122"/>
      <c r="BX129" s="122"/>
      <c r="BY129" s="122"/>
      <c r="BZ129" s="122"/>
      <c r="CA129" s="122"/>
      <c r="CB129" s="122"/>
      <c r="CC129" s="122"/>
      <c r="CD129" s="122"/>
      <c r="CE129" s="122"/>
      <c r="CF129" s="122"/>
      <c r="CG129" s="122"/>
      <c r="CH129" s="122"/>
      <c r="CI129" s="122"/>
      <c r="CJ129" s="122"/>
      <c r="CK129" s="122"/>
      <c r="CL129" s="94"/>
      <c r="CM129" s="13"/>
      <c r="CN129" s="13"/>
      <c r="CO129" s="13"/>
      <c r="CP129" s="13"/>
      <c r="CQ129" s="13"/>
      <c r="CR129" s="146"/>
      <c r="CS129" s="149"/>
    </row>
    <row r="130" spans="1:97" ht="75" x14ac:dyDescent="0.25">
      <c r="A130" s="92"/>
      <c r="B130" s="26" t="s">
        <v>205</v>
      </c>
      <c r="C130" s="93" t="s">
        <v>12</v>
      </c>
      <c r="D130" s="10"/>
      <c r="E130" s="10"/>
      <c r="F130" s="10"/>
      <c r="G130" s="10">
        <f>3.1</f>
        <v>3.1</v>
      </c>
      <c r="H130" s="10"/>
      <c r="I130" s="10"/>
      <c r="J130" s="10"/>
      <c r="K130" s="10"/>
      <c r="L130" s="10">
        <v>1.95</v>
      </c>
      <c r="M130" s="10"/>
      <c r="N130" s="10"/>
      <c r="O130" s="10"/>
      <c r="P130" s="10"/>
      <c r="Q130" s="10">
        <v>1.95</v>
      </c>
      <c r="R130" s="10"/>
      <c r="S130" s="10"/>
      <c r="T130" s="10"/>
      <c r="U130" s="10"/>
      <c r="V130" s="10">
        <v>3.1</v>
      </c>
      <c r="W130" s="10"/>
      <c r="X130" s="54"/>
      <c r="Y130" s="54"/>
      <c r="Z130" s="54"/>
      <c r="AA130" s="90"/>
      <c r="AB130" s="54"/>
      <c r="AC130" s="54"/>
      <c r="AD130" s="90"/>
      <c r="AE130" s="10"/>
      <c r="AF130" s="10">
        <v>1.65</v>
      </c>
      <c r="AG130" s="10"/>
      <c r="AH130" s="10"/>
      <c r="AI130" s="10"/>
      <c r="AJ130" s="10"/>
      <c r="AK130" s="10"/>
      <c r="AL130" s="91"/>
      <c r="AM130" s="91"/>
      <c r="AN130" s="10"/>
      <c r="AO130" s="10"/>
      <c r="AP130" s="10"/>
      <c r="AQ130" s="10"/>
      <c r="AR130" s="10"/>
      <c r="AS130" s="91"/>
      <c r="AT130" s="10"/>
      <c r="AU130" s="10"/>
      <c r="AV130" s="10"/>
      <c r="AW130" s="10"/>
      <c r="AX130" s="10"/>
      <c r="AY130" s="10"/>
      <c r="AZ130" s="10"/>
      <c r="BA130" s="90"/>
      <c r="BB130" s="54"/>
      <c r="BC130" s="90"/>
      <c r="BD130" s="10"/>
      <c r="BE130" s="10"/>
      <c r="BF130" s="10"/>
      <c r="BG130" s="54"/>
      <c r="BH130" s="10"/>
      <c r="BI130" s="10"/>
      <c r="BJ130" s="54"/>
      <c r="BK130" s="54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38">
        <f>SUM(D130:CJ130)</f>
        <v>11.75</v>
      </c>
      <c r="CL130" s="94"/>
      <c r="CM130" s="13"/>
      <c r="CN130" s="13"/>
      <c r="CO130" s="13"/>
      <c r="CP130" s="13"/>
      <c r="CQ130" s="191" t="s">
        <v>321</v>
      </c>
      <c r="CR130" s="146"/>
      <c r="CS130" s="149"/>
    </row>
    <row r="131" spans="1:97" ht="60" x14ac:dyDescent="0.25">
      <c r="A131" s="92"/>
      <c r="B131" s="26" t="s">
        <v>223</v>
      </c>
      <c r="C131" s="93" t="s">
        <v>12</v>
      </c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54"/>
      <c r="Y131" s="54"/>
      <c r="Z131" s="54">
        <v>1.1499999999999999</v>
      </c>
      <c r="AA131" s="90"/>
      <c r="AB131" s="54"/>
      <c r="AC131" s="54">
        <v>1.1499999999999999</v>
      </c>
      <c r="AD131" s="90"/>
      <c r="AE131" s="10"/>
      <c r="AF131" s="10"/>
      <c r="AG131" s="10"/>
      <c r="AH131" s="10"/>
      <c r="AI131" s="10"/>
      <c r="AJ131" s="10"/>
      <c r="AK131" s="10"/>
      <c r="AL131" s="91"/>
      <c r="AM131" s="91"/>
      <c r="AN131" s="10"/>
      <c r="AO131" s="10"/>
      <c r="AP131" s="10"/>
      <c r="AQ131" s="10"/>
      <c r="AR131" s="10"/>
      <c r="AS131" s="91"/>
      <c r="AT131" s="10"/>
      <c r="AU131" s="10"/>
      <c r="AV131" s="10"/>
      <c r="AW131" s="10"/>
      <c r="AX131" s="10"/>
      <c r="AY131" s="10"/>
      <c r="AZ131" s="10"/>
      <c r="BA131" s="90"/>
      <c r="BB131" s="54"/>
      <c r="BC131" s="90"/>
      <c r="BD131" s="10"/>
      <c r="BE131" s="10"/>
      <c r="BF131" s="10"/>
      <c r="BG131" s="54"/>
      <c r="BH131" s="10"/>
      <c r="BI131" s="10"/>
      <c r="BJ131" s="54"/>
      <c r="BK131" s="54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38">
        <f>SUM(D131:CJ131)</f>
        <v>2.2999999999999998</v>
      </c>
      <c r="CL131" s="94"/>
      <c r="CM131" s="13"/>
      <c r="CN131" s="13"/>
      <c r="CO131" s="13"/>
      <c r="CP131" s="13"/>
      <c r="CQ131" s="13"/>
      <c r="CR131" s="146"/>
      <c r="CS131" s="149"/>
    </row>
    <row r="132" spans="1:97" x14ac:dyDescent="0.25">
      <c r="A132" s="128" t="s">
        <v>264</v>
      </c>
      <c r="B132" s="129" t="s">
        <v>227</v>
      </c>
      <c r="C132" s="130"/>
      <c r="D132" s="131"/>
      <c r="E132" s="131"/>
      <c r="F132" s="131"/>
      <c r="G132" s="131"/>
      <c r="H132" s="131"/>
      <c r="I132" s="131"/>
      <c r="J132" s="131"/>
      <c r="K132" s="131"/>
      <c r="L132" s="131"/>
      <c r="M132" s="131"/>
      <c r="N132" s="131"/>
      <c r="O132" s="131"/>
      <c r="P132" s="131"/>
      <c r="Q132" s="131"/>
      <c r="R132" s="131"/>
      <c r="S132" s="131"/>
      <c r="T132" s="131"/>
      <c r="U132" s="131"/>
      <c r="V132" s="131"/>
      <c r="W132" s="131"/>
      <c r="X132" s="131"/>
      <c r="Y132" s="131"/>
      <c r="Z132" s="131"/>
      <c r="AA132" s="131"/>
      <c r="AB132" s="131"/>
      <c r="AC132" s="131"/>
      <c r="AD132" s="131"/>
      <c r="AE132" s="131"/>
      <c r="AF132" s="131"/>
      <c r="AG132" s="131"/>
      <c r="AH132" s="131"/>
      <c r="AI132" s="131"/>
      <c r="AJ132" s="131"/>
      <c r="AK132" s="131"/>
      <c r="AL132" s="131"/>
      <c r="AM132" s="131"/>
      <c r="AN132" s="131"/>
      <c r="AO132" s="131"/>
      <c r="AP132" s="131"/>
      <c r="AQ132" s="131"/>
      <c r="AR132" s="131"/>
      <c r="AS132" s="131"/>
      <c r="AT132" s="131"/>
      <c r="AU132" s="131"/>
      <c r="AV132" s="131"/>
      <c r="AW132" s="131"/>
      <c r="AX132" s="131"/>
      <c r="AY132" s="131"/>
      <c r="AZ132" s="131"/>
      <c r="BA132" s="131"/>
      <c r="BB132" s="131"/>
      <c r="BC132" s="131"/>
      <c r="BD132" s="131"/>
      <c r="BE132" s="131"/>
      <c r="BF132" s="131"/>
      <c r="BG132" s="131"/>
      <c r="BH132" s="131"/>
      <c r="BI132" s="131"/>
      <c r="BJ132" s="131"/>
      <c r="BK132" s="131"/>
      <c r="BL132" s="131"/>
      <c r="BM132" s="131"/>
      <c r="BN132" s="131"/>
      <c r="BO132" s="131"/>
      <c r="BP132" s="131"/>
      <c r="BQ132" s="131"/>
      <c r="BR132" s="131"/>
      <c r="BS132" s="131"/>
      <c r="BT132" s="131"/>
      <c r="BU132" s="131"/>
      <c r="BV132" s="131"/>
      <c r="BW132" s="131"/>
      <c r="BX132" s="131"/>
      <c r="BY132" s="131"/>
      <c r="BZ132" s="131"/>
      <c r="CA132" s="131"/>
      <c r="CB132" s="131"/>
      <c r="CC132" s="131"/>
      <c r="CD132" s="131"/>
      <c r="CE132" s="131"/>
      <c r="CF132" s="131"/>
      <c r="CG132" s="131"/>
      <c r="CH132" s="131"/>
      <c r="CI132" s="131"/>
      <c r="CJ132" s="131"/>
      <c r="CK132" s="141"/>
      <c r="CL132" s="94"/>
      <c r="CM132" s="13"/>
      <c r="CN132" s="13"/>
      <c r="CO132" s="13"/>
      <c r="CP132" s="13"/>
      <c r="CQ132" s="13"/>
      <c r="CR132" s="146"/>
      <c r="CS132" s="149"/>
    </row>
    <row r="133" spans="1:97" ht="31.5" customHeight="1" x14ac:dyDescent="0.25">
      <c r="A133" s="92"/>
      <c r="B133" s="5" t="s">
        <v>318</v>
      </c>
      <c r="C133" s="93" t="s">
        <v>12</v>
      </c>
      <c r="D133" s="10">
        <f>(2.1+2.1+1.6)</f>
        <v>5.8000000000000007</v>
      </c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>
        <f>(2.1+2.1+1.4)</f>
        <v>5.6</v>
      </c>
      <c r="Y133" s="10"/>
      <c r="Z133" s="10">
        <f>(2.1+2.1+1.01)</f>
        <v>5.21</v>
      </c>
      <c r="AA133" s="10"/>
      <c r="AB133" s="10"/>
      <c r="AC133" s="10">
        <f>(2.1+2.1+1.01)*2</f>
        <v>10.42</v>
      </c>
      <c r="AD133" s="10"/>
      <c r="AE133" s="10">
        <f>(2.1+2.1+1.01)*2</f>
        <v>10.42</v>
      </c>
      <c r="AF133" s="10"/>
      <c r="AG133" s="10">
        <f>(2.1+2.1+1.01)</f>
        <v>5.21</v>
      </c>
      <c r="AH133" s="10">
        <f>(2.1+2.1+1.01)</f>
        <v>5.21</v>
      </c>
      <c r="AI133" s="10">
        <f>(2.1+2.1+1.01)</f>
        <v>5.21</v>
      </c>
      <c r="AJ133" s="10"/>
      <c r="AK133" s="10"/>
      <c r="AL133" s="10">
        <f>(2.1+2.1+1.05)*3</f>
        <v>15.75</v>
      </c>
      <c r="AM133" s="10"/>
      <c r="AN133" s="10"/>
      <c r="AO133" s="10"/>
      <c r="AP133" s="10"/>
      <c r="AQ133" s="10"/>
      <c r="AR133" s="10"/>
      <c r="AS133" s="10">
        <f>(2.3+2.3+1.7)+(2.1+2.1+1.6)</f>
        <v>12.100000000000001</v>
      </c>
      <c r="AT133" s="10"/>
      <c r="AU133" s="10"/>
      <c r="AV133" s="10"/>
      <c r="AW133" s="10">
        <f>(0.54*3)</f>
        <v>1.62</v>
      </c>
      <c r="AX133" s="10">
        <f>(0.54*3)*2</f>
        <v>3.24</v>
      </c>
      <c r="AY133" s="10">
        <f>(0.54*3)</f>
        <v>1.62</v>
      </c>
      <c r="AZ133" s="10">
        <f>(0.54*3)*2</f>
        <v>3.24</v>
      </c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>
        <f>(2.1+2.1+1.05)</f>
        <v>5.25</v>
      </c>
      <c r="BL133" s="10"/>
      <c r="BM133" s="10"/>
      <c r="BN133" s="10">
        <f>(3.2+3.2+1.78)</f>
        <v>8.18</v>
      </c>
      <c r="BO133" s="10"/>
      <c r="BP133" s="10"/>
      <c r="BQ133" s="10">
        <f>(2.1+2.1+1.65)</f>
        <v>5.85</v>
      </c>
      <c r="BR133" s="10">
        <f>(2.1+2.1+1.6)</f>
        <v>5.8000000000000007</v>
      </c>
      <c r="BS133" s="10"/>
      <c r="BT133" s="10">
        <f>(2.1+2.1+1.6)*3+(2.1+2.1+1.05)*3+(2.1+2.1+1.4)*2</f>
        <v>44.350000000000009</v>
      </c>
      <c r="BU133" s="10">
        <f>(2.07+2.07+1.2)+(2.1+2.1+1.05)*8+(2.1+2.1+1.4)*3+(2.1+2.1+1.65)</f>
        <v>69.989999999999995</v>
      </c>
      <c r="BV133" s="10"/>
      <c r="BW133" s="10">
        <f>(2.3+2.3+1.05)</f>
        <v>5.6499999999999995</v>
      </c>
      <c r="BX133" s="10"/>
      <c r="BY133" s="10"/>
      <c r="BZ133" s="10"/>
      <c r="CA133" s="10"/>
      <c r="CB133" s="10"/>
      <c r="CC133" s="10">
        <f>2.1+2.1+1.75</f>
        <v>5.95</v>
      </c>
      <c r="CD133" s="10">
        <f>(2.3+2.3+1.7)+2.1+2.1+1.75</f>
        <v>12.25</v>
      </c>
      <c r="CE133" s="10">
        <f>(2.1+2.1+1.6)*3</f>
        <v>17.400000000000002</v>
      </c>
      <c r="CF133" s="10">
        <f>(2.1+2.1+1.67)+(2.1+2.1+1.6)</f>
        <v>11.670000000000002</v>
      </c>
      <c r="CG133" s="10">
        <f>(2.1+2.1+1.6)+(2.1+2.1+1.75)</f>
        <v>11.75</v>
      </c>
      <c r="CH133" s="10">
        <f>(2.3+2.3+1.7)</f>
        <v>6.3</v>
      </c>
      <c r="CI133" s="10">
        <f>(2.1+2.1+1.6)*2+(3.2+3.2+1.55)</f>
        <v>19.55</v>
      </c>
      <c r="CJ133" s="10">
        <f>((2.1+2.1+1.6)*2+(3.2+3.2+1.55))</f>
        <v>19.55</v>
      </c>
      <c r="CK133" s="140">
        <f>SUM(D133:CJ133)</f>
        <v>340.14000000000004</v>
      </c>
      <c r="CL133" s="94"/>
      <c r="CM133" s="13"/>
      <c r="CN133" s="13"/>
      <c r="CO133" s="13"/>
      <c r="CP133" s="13"/>
      <c r="CQ133" s="13"/>
      <c r="CR133" s="146"/>
      <c r="CS133" s="149"/>
    </row>
    <row r="134" spans="1:97" ht="30" x14ac:dyDescent="0.25">
      <c r="A134" s="92"/>
      <c r="B134" s="5" t="s">
        <v>319</v>
      </c>
      <c r="C134" s="93" t="s">
        <v>11</v>
      </c>
      <c r="D134" s="10">
        <f>D133*0.125</f>
        <v>0.72500000000000009</v>
      </c>
      <c r="E134" s="10">
        <f t="shared" ref="E134:BP134" si="35">E133*0.125</f>
        <v>0</v>
      </c>
      <c r="F134" s="10">
        <f t="shared" si="35"/>
        <v>0</v>
      </c>
      <c r="G134" s="10">
        <f t="shared" si="35"/>
        <v>0</v>
      </c>
      <c r="H134" s="10">
        <f t="shared" si="35"/>
        <v>0</v>
      </c>
      <c r="I134" s="10">
        <f t="shared" si="35"/>
        <v>0</v>
      </c>
      <c r="J134" s="10">
        <f t="shared" si="35"/>
        <v>0</v>
      </c>
      <c r="K134" s="10">
        <f t="shared" si="35"/>
        <v>0</v>
      </c>
      <c r="L134" s="10">
        <f t="shared" si="35"/>
        <v>0</v>
      </c>
      <c r="M134" s="10">
        <f t="shared" si="35"/>
        <v>0</v>
      </c>
      <c r="N134" s="10">
        <f t="shared" si="35"/>
        <v>0</v>
      </c>
      <c r="O134" s="10">
        <f t="shared" si="35"/>
        <v>0</v>
      </c>
      <c r="P134" s="10">
        <f t="shared" si="35"/>
        <v>0</v>
      </c>
      <c r="Q134" s="10">
        <f t="shared" si="35"/>
        <v>0</v>
      </c>
      <c r="R134" s="10">
        <f t="shared" si="35"/>
        <v>0</v>
      </c>
      <c r="S134" s="10">
        <f t="shared" si="35"/>
        <v>0</v>
      </c>
      <c r="T134" s="10">
        <f t="shared" si="35"/>
        <v>0</v>
      </c>
      <c r="U134" s="10">
        <f t="shared" si="35"/>
        <v>0</v>
      </c>
      <c r="V134" s="10">
        <f t="shared" si="35"/>
        <v>0</v>
      </c>
      <c r="W134" s="10">
        <f t="shared" si="35"/>
        <v>0</v>
      </c>
      <c r="X134" s="10">
        <f t="shared" si="35"/>
        <v>0.7</v>
      </c>
      <c r="Y134" s="10">
        <f t="shared" si="35"/>
        <v>0</v>
      </c>
      <c r="Z134" s="10">
        <f t="shared" si="35"/>
        <v>0.65125</v>
      </c>
      <c r="AA134" s="10">
        <f t="shared" si="35"/>
        <v>0</v>
      </c>
      <c r="AB134" s="10">
        <f t="shared" si="35"/>
        <v>0</v>
      </c>
      <c r="AC134" s="10">
        <f t="shared" si="35"/>
        <v>1.3025</v>
      </c>
      <c r="AD134" s="10">
        <f t="shared" si="35"/>
        <v>0</v>
      </c>
      <c r="AE134" s="10">
        <f t="shared" si="35"/>
        <v>1.3025</v>
      </c>
      <c r="AF134" s="10">
        <f t="shared" si="35"/>
        <v>0</v>
      </c>
      <c r="AG134" s="10">
        <f t="shared" si="35"/>
        <v>0.65125</v>
      </c>
      <c r="AH134" s="10">
        <f t="shared" si="35"/>
        <v>0.65125</v>
      </c>
      <c r="AI134" s="10">
        <f t="shared" si="35"/>
        <v>0.65125</v>
      </c>
      <c r="AJ134" s="10">
        <f t="shared" si="35"/>
        <v>0</v>
      </c>
      <c r="AK134" s="10">
        <f t="shared" si="35"/>
        <v>0</v>
      </c>
      <c r="AL134" s="10">
        <f t="shared" si="35"/>
        <v>1.96875</v>
      </c>
      <c r="AM134" s="10">
        <f t="shared" si="35"/>
        <v>0</v>
      </c>
      <c r="AN134" s="10">
        <f t="shared" si="35"/>
        <v>0</v>
      </c>
      <c r="AO134" s="10">
        <f t="shared" si="35"/>
        <v>0</v>
      </c>
      <c r="AP134" s="10">
        <f t="shared" si="35"/>
        <v>0</v>
      </c>
      <c r="AQ134" s="10">
        <f t="shared" si="35"/>
        <v>0</v>
      </c>
      <c r="AR134" s="10">
        <f t="shared" si="35"/>
        <v>0</v>
      </c>
      <c r="AS134" s="10">
        <f t="shared" si="35"/>
        <v>1.5125000000000002</v>
      </c>
      <c r="AT134" s="10">
        <f t="shared" si="35"/>
        <v>0</v>
      </c>
      <c r="AU134" s="10">
        <f t="shared" si="35"/>
        <v>0</v>
      </c>
      <c r="AV134" s="10">
        <f t="shared" si="35"/>
        <v>0</v>
      </c>
      <c r="AW134" s="10">
        <f t="shared" si="35"/>
        <v>0.20250000000000001</v>
      </c>
      <c r="AX134" s="10">
        <f t="shared" si="35"/>
        <v>0.40500000000000003</v>
      </c>
      <c r="AY134" s="10">
        <f t="shared" si="35"/>
        <v>0.20250000000000001</v>
      </c>
      <c r="AZ134" s="10">
        <f t="shared" si="35"/>
        <v>0.40500000000000003</v>
      </c>
      <c r="BA134" s="10">
        <f t="shared" si="35"/>
        <v>0</v>
      </c>
      <c r="BB134" s="10">
        <f t="shared" si="35"/>
        <v>0</v>
      </c>
      <c r="BC134" s="10">
        <f t="shared" si="35"/>
        <v>0</v>
      </c>
      <c r="BD134" s="10">
        <f t="shared" si="35"/>
        <v>0</v>
      </c>
      <c r="BE134" s="10">
        <f t="shared" si="35"/>
        <v>0</v>
      </c>
      <c r="BF134" s="10">
        <f t="shared" si="35"/>
        <v>0</v>
      </c>
      <c r="BG134" s="10">
        <f t="shared" si="35"/>
        <v>0</v>
      </c>
      <c r="BH134" s="10">
        <f t="shared" si="35"/>
        <v>0</v>
      </c>
      <c r="BI134" s="10">
        <f t="shared" si="35"/>
        <v>0</v>
      </c>
      <c r="BJ134" s="10">
        <f t="shared" si="35"/>
        <v>0</v>
      </c>
      <c r="BK134" s="10">
        <f t="shared" si="35"/>
        <v>0.65625</v>
      </c>
      <c r="BL134" s="10">
        <f t="shared" si="35"/>
        <v>0</v>
      </c>
      <c r="BM134" s="10">
        <f t="shared" si="35"/>
        <v>0</v>
      </c>
      <c r="BN134" s="10">
        <f t="shared" si="35"/>
        <v>1.0225</v>
      </c>
      <c r="BO134" s="10">
        <f t="shared" si="35"/>
        <v>0</v>
      </c>
      <c r="BP134" s="10">
        <f t="shared" si="35"/>
        <v>0</v>
      </c>
      <c r="BQ134" s="10">
        <f t="shared" ref="BQ134:CJ134" si="36">BQ133*0.125</f>
        <v>0.73124999999999996</v>
      </c>
      <c r="BR134" s="10">
        <f t="shared" si="36"/>
        <v>0.72500000000000009</v>
      </c>
      <c r="BS134" s="10">
        <f t="shared" si="36"/>
        <v>0</v>
      </c>
      <c r="BT134" s="10">
        <f t="shared" si="36"/>
        <v>5.5437500000000011</v>
      </c>
      <c r="BU134" s="10">
        <f t="shared" si="36"/>
        <v>8.7487499999999994</v>
      </c>
      <c r="BV134" s="10">
        <f t="shared" si="36"/>
        <v>0</v>
      </c>
      <c r="BW134" s="10">
        <f t="shared" si="36"/>
        <v>0.70624999999999993</v>
      </c>
      <c r="BX134" s="10">
        <f t="shared" si="36"/>
        <v>0</v>
      </c>
      <c r="BY134" s="10">
        <f t="shared" si="36"/>
        <v>0</v>
      </c>
      <c r="BZ134" s="10">
        <f t="shared" si="36"/>
        <v>0</v>
      </c>
      <c r="CA134" s="10">
        <f t="shared" si="36"/>
        <v>0</v>
      </c>
      <c r="CB134" s="10">
        <f t="shared" si="36"/>
        <v>0</v>
      </c>
      <c r="CC134" s="10">
        <f t="shared" si="36"/>
        <v>0.74375000000000002</v>
      </c>
      <c r="CD134" s="10">
        <f t="shared" si="36"/>
        <v>1.53125</v>
      </c>
      <c r="CE134" s="10">
        <f t="shared" si="36"/>
        <v>2.1750000000000003</v>
      </c>
      <c r="CF134" s="10">
        <f t="shared" si="36"/>
        <v>1.4587500000000002</v>
      </c>
      <c r="CG134" s="10">
        <f t="shared" si="36"/>
        <v>1.46875</v>
      </c>
      <c r="CH134" s="10">
        <f t="shared" si="36"/>
        <v>0.78749999999999998</v>
      </c>
      <c r="CI134" s="10">
        <f t="shared" si="36"/>
        <v>2.4437500000000001</v>
      </c>
      <c r="CJ134" s="10">
        <f t="shared" si="36"/>
        <v>2.4437500000000001</v>
      </c>
      <c r="CK134" s="140">
        <f t="shared" ref="CK134" si="37">SUM(D134:CJ134)</f>
        <v>42.517500000000005</v>
      </c>
      <c r="CL134" s="94"/>
      <c r="CM134" s="13"/>
      <c r="CN134" s="13"/>
      <c r="CO134" s="13"/>
      <c r="CP134" s="13"/>
      <c r="CQ134" s="13"/>
      <c r="CR134" s="146"/>
      <c r="CS134" s="149"/>
    </row>
    <row r="135" spans="1:97" ht="45" x14ac:dyDescent="0.25">
      <c r="A135" s="92"/>
      <c r="B135" s="9" t="s">
        <v>320</v>
      </c>
      <c r="C135" s="93" t="s">
        <v>12</v>
      </c>
      <c r="D135" s="10">
        <f>(2.4+2.4+1.06)*2+(2.73+2.73+2.07)</f>
        <v>19.25</v>
      </c>
      <c r="E135" s="10">
        <f>(2.4+2.4+1.06)*5</f>
        <v>29.299999999999997</v>
      </c>
      <c r="F135" s="10"/>
      <c r="G135" s="10"/>
      <c r="H135" s="10">
        <f>(2.4+2.4+1.06)*1</f>
        <v>5.8599999999999994</v>
      </c>
      <c r="I135" s="10">
        <f>(2.73+2.73+1.77)+(2.73+2.73+0.72)</f>
        <v>13.41</v>
      </c>
      <c r="J135" s="10">
        <f>(2.73+2.73+1.77)*2+(2.73+2.73+0.72)*2</f>
        <v>26.82</v>
      </c>
      <c r="K135" s="10"/>
      <c r="L135" s="10"/>
      <c r="M135" s="10">
        <f>(2.4+2.4+1.06)*1</f>
        <v>5.8599999999999994</v>
      </c>
      <c r="N135" s="10">
        <f>(2.73+2.73+1.77)+(2.73+2.73+0.72)</f>
        <v>13.41</v>
      </c>
      <c r="O135" s="10">
        <f>(2.73+2.73+1.77)*2+(2.73+2.73+0.72)*2</f>
        <v>26.82</v>
      </c>
      <c r="P135" s="10"/>
      <c r="Q135" s="10"/>
      <c r="R135" s="10">
        <f>(2.4+2.4+1.06)*1</f>
        <v>5.8599999999999994</v>
      </c>
      <c r="S135" s="10">
        <f>(2.73+2.73+1.77)*2</f>
        <v>14.46</v>
      </c>
      <c r="T135" s="10">
        <f>(2.73+2.73+1.77)*2+(2.73+2.73+0.72)</f>
        <v>20.64</v>
      </c>
      <c r="U135" s="10"/>
      <c r="V135" s="10"/>
      <c r="W135" s="10">
        <f>(2.4+2.4+1.06)*1</f>
        <v>5.8599999999999994</v>
      </c>
      <c r="X135" s="10">
        <f>(2.4+2.4+2.04)*2+(2.4+2.4+1.725)*2</f>
        <v>26.73</v>
      </c>
      <c r="Y135" s="10">
        <f>(2.73+2.73*2.07)+(2.73+2.73+1.06)</f>
        <v>14.9011</v>
      </c>
      <c r="Z135" s="10"/>
      <c r="AA135" s="10"/>
      <c r="AB135" s="10"/>
      <c r="AC135" s="10"/>
      <c r="AD135" s="10"/>
      <c r="AE135" s="10"/>
      <c r="AF135" s="10"/>
      <c r="AG135" s="10">
        <f>(2.73+2.73+1.06)</f>
        <v>6.52</v>
      </c>
      <c r="AH135" s="10"/>
      <c r="AI135" s="10"/>
      <c r="AJ135" s="10"/>
      <c r="AK135" s="10">
        <f>(2.73+2.73+1.06)</f>
        <v>6.52</v>
      </c>
      <c r="AL135" s="10"/>
      <c r="AM135" s="10">
        <f>(2.73+2.73+1.06)</f>
        <v>6.52</v>
      </c>
      <c r="AN135" s="10"/>
      <c r="AO135" s="10"/>
      <c r="AP135" s="10"/>
      <c r="AQ135" s="10">
        <f>(2.73+2.73+1.06)</f>
        <v>6.52</v>
      </c>
      <c r="AR135" s="10">
        <f>(2.73+2.73+2.07)</f>
        <v>7.5299999999999994</v>
      </c>
      <c r="AS135" s="10"/>
      <c r="AT135" s="10">
        <f>(2.73+2.73+1.06)+(1.04+1.04+1+1)</f>
        <v>10.6</v>
      </c>
      <c r="AU135" s="10"/>
      <c r="AV135" s="10">
        <f>(2.73+2.73+1.06)+(1.04+1.04+1+1)</f>
        <v>10.6</v>
      </c>
      <c r="AW135" s="10">
        <f>(2.73+2.73+1.06)*2</f>
        <v>13.04</v>
      </c>
      <c r="AX135" s="10">
        <f>(2.73+2.73+1.06)</f>
        <v>6.52</v>
      </c>
      <c r="AY135" s="10">
        <f>(2.73+2.73+1.06)</f>
        <v>6.52</v>
      </c>
      <c r="AZ135" s="10">
        <f>(2.73+2.73+1.06)+(2.73+2.73+2.07)</f>
        <v>14.049999999999999</v>
      </c>
      <c r="BA135" s="10"/>
      <c r="BB135" s="10"/>
      <c r="BC135" s="10"/>
      <c r="BD135" s="10"/>
      <c r="BE135" s="10"/>
      <c r="BF135" s="10"/>
      <c r="BG135" s="10"/>
      <c r="BH135" s="10"/>
      <c r="BI135" s="10"/>
      <c r="BJ135" s="10">
        <f>(2.73+2.73+1.06)</f>
        <v>6.52</v>
      </c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>
        <f>(1.37+2.07+1.37)*3</f>
        <v>14.430000000000001</v>
      </c>
      <c r="CD135" s="10"/>
      <c r="CE135" s="10">
        <f>(1.37+2.07+1.37)*2</f>
        <v>9.620000000000001</v>
      </c>
      <c r="CF135" s="10"/>
      <c r="CG135" s="10">
        <f>(1.37+2.07+1.37)*3</f>
        <v>14.430000000000001</v>
      </c>
      <c r="CH135" s="10"/>
      <c r="CI135" s="10"/>
      <c r="CJ135" s="10"/>
      <c r="CK135" s="140">
        <f>SUM(D135:CJ135)</f>
        <v>369.12110000000007</v>
      </c>
      <c r="CL135" s="94"/>
      <c r="CM135" s="13"/>
      <c r="CN135" s="13"/>
      <c r="CO135" s="13"/>
      <c r="CP135" s="13"/>
      <c r="CQ135" s="13"/>
      <c r="CR135" s="146"/>
      <c r="CS135" s="149"/>
    </row>
    <row r="136" spans="1:97" ht="43.5" customHeight="1" x14ac:dyDescent="0.25">
      <c r="A136" s="92"/>
      <c r="B136" s="5" t="s">
        <v>228</v>
      </c>
      <c r="C136" s="93" t="s">
        <v>11</v>
      </c>
      <c r="D136" s="10">
        <f>D135*0.15</f>
        <v>2.8874999999999997</v>
      </c>
      <c r="E136" s="10">
        <f>E135*0.15</f>
        <v>4.3949999999999996</v>
      </c>
      <c r="F136" s="10"/>
      <c r="G136" s="10"/>
      <c r="H136" s="10">
        <f>H135*0.15</f>
        <v>0.87899999999999989</v>
      </c>
      <c r="I136" s="10">
        <f>I135*0.15</f>
        <v>2.0114999999999998</v>
      </c>
      <c r="J136" s="10">
        <f>J135*0.15</f>
        <v>4.0229999999999997</v>
      </c>
      <c r="K136" s="10"/>
      <c r="L136" s="10"/>
      <c r="M136" s="10">
        <f>M135*0.15</f>
        <v>0.87899999999999989</v>
      </c>
      <c r="N136" s="10">
        <f>N135*0.15</f>
        <v>2.0114999999999998</v>
      </c>
      <c r="O136" s="10">
        <f>O135*0.15</f>
        <v>4.0229999999999997</v>
      </c>
      <c r="P136" s="10"/>
      <c r="Q136" s="10"/>
      <c r="R136" s="10">
        <f>R135*0.15</f>
        <v>0.87899999999999989</v>
      </c>
      <c r="S136" s="10">
        <f>S135*0.15</f>
        <v>2.169</v>
      </c>
      <c r="T136" s="10">
        <f>T135*0.15</f>
        <v>3.0960000000000001</v>
      </c>
      <c r="U136" s="10"/>
      <c r="V136" s="10"/>
      <c r="W136" s="10">
        <f>W135*0.15</f>
        <v>0.87899999999999989</v>
      </c>
      <c r="X136" s="10">
        <f t="shared" ref="X136:Y136" si="38">X135*0.15</f>
        <v>4.0095000000000001</v>
      </c>
      <c r="Y136" s="10">
        <f t="shared" si="38"/>
        <v>2.2351649999999998</v>
      </c>
      <c r="Z136" s="10"/>
      <c r="AA136" s="10"/>
      <c r="AB136" s="10"/>
      <c r="AC136" s="10"/>
      <c r="AD136" s="10"/>
      <c r="AE136" s="10"/>
      <c r="AF136" s="10"/>
      <c r="AG136" s="10">
        <f t="shared" ref="AG136" si="39">AG135*0.15</f>
        <v>0.97799999999999987</v>
      </c>
      <c r="AH136" s="10"/>
      <c r="AI136" s="10"/>
      <c r="AJ136" s="10"/>
      <c r="AK136" s="10">
        <f t="shared" ref="AK136" si="40">AK135*0.15</f>
        <v>0.97799999999999987</v>
      </c>
      <c r="AL136" s="10"/>
      <c r="AM136" s="10">
        <f t="shared" ref="AM136" si="41">AM135*0.15</f>
        <v>0.97799999999999987</v>
      </c>
      <c r="AN136" s="10"/>
      <c r="AO136" s="10"/>
      <c r="AP136" s="10"/>
      <c r="AQ136" s="10">
        <f t="shared" ref="AQ136:AR136" si="42">AQ135*0.15</f>
        <v>0.97799999999999987</v>
      </c>
      <c r="AR136" s="10">
        <f t="shared" si="42"/>
        <v>1.1294999999999999</v>
      </c>
      <c r="AS136" s="10"/>
      <c r="AT136" s="10">
        <f t="shared" ref="AT136" si="43">AT135*0.15</f>
        <v>1.5899999999999999</v>
      </c>
      <c r="AU136" s="10"/>
      <c r="AV136" s="10">
        <f t="shared" ref="AV136:AZ136" si="44">AV135*0.15</f>
        <v>1.5899999999999999</v>
      </c>
      <c r="AW136" s="10">
        <f t="shared" si="44"/>
        <v>1.9559999999999997</v>
      </c>
      <c r="AX136" s="10">
        <f t="shared" si="44"/>
        <v>0.97799999999999987</v>
      </c>
      <c r="AY136" s="10">
        <f t="shared" si="44"/>
        <v>0.97799999999999987</v>
      </c>
      <c r="AZ136" s="10">
        <f t="shared" si="44"/>
        <v>2.1074999999999999</v>
      </c>
      <c r="BA136" s="10"/>
      <c r="BB136" s="10"/>
      <c r="BC136" s="10"/>
      <c r="BD136" s="10"/>
      <c r="BE136" s="10"/>
      <c r="BF136" s="10"/>
      <c r="BG136" s="10"/>
      <c r="BH136" s="10"/>
      <c r="BI136" s="10"/>
      <c r="BJ136" s="10">
        <f t="shared" ref="BJ136" si="45">BJ135*0.15</f>
        <v>0.97799999999999987</v>
      </c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>
        <f>CC135*0.15</f>
        <v>2.1645000000000003</v>
      </c>
      <c r="CD136" s="10"/>
      <c r="CE136" s="10">
        <f>CE135*0.15</f>
        <v>1.4430000000000001</v>
      </c>
      <c r="CF136" s="10"/>
      <c r="CG136" s="10">
        <f>CG135*0.15</f>
        <v>2.1645000000000003</v>
      </c>
      <c r="CH136" s="10"/>
      <c r="CI136" s="10"/>
      <c r="CJ136" s="10"/>
      <c r="CK136" s="140">
        <f>SUM(D136:CJ136)</f>
        <v>55.368165000000019</v>
      </c>
      <c r="CL136" s="94"/>
      <c r="CM136" s="13"/>
      <c r="CN136" s="13"/>
      <c r="CO136" s="13"/>
      <c r="CP136" s="13"/>
      <c r="CQ136" s="13"/>
      <c r="CR136" s="146"/>
      <c r="CS136" s="149"/>
    </row>
    <row r="137" spans="1:97" x14ac:dyDescent="0.25">
      <c r="A137" s="132" t="s">
        <v>265</v>
      </c>
      <c r="B137" s="129" t="s">
        <v>14</v>
      </c>
      <c r="C137" s="130"/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131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  <c r="AA137" s="131"/>
      <c r="AB137" s="131"/>
      <c r="AC137" s="131"/>
      <c r="AD137" s="131"/>
      <c r="AE137" s="131"/>
      <c r="AF137" s="131"/>
      <c r="AG137" s="131"/>
      <c r="AH137" s="131"/>
      <c r="AI137" s="131"/>
      <c r="AJ137" s="131"/>
      <c r="AK137" s="131"/>
      <c r="AL137" s="131"/>
      <c r="AM137" s="131"/>
      <c r="AN137" s="131"/>
      <c r="AO137" s="131"/>
      <c r="AP137" s="131"/>
      <c r="AQ137" s="131"/>
      <c r="AR137" s="131"/>
      <c r="AS137" s="131"/>
      <c r="AT137" s="131"/>
      <c r="AU137" s="131"/>
      <c r="AV137" s="131"/>
      <c r="AW137" s="131"/>
      <c r="AX137" s="131"/>
      <c r="AY137" s="131"/>
      <c r="AZ137" s="131"/>
      <c r="BA137" s="131"/>
      <c r="BB137" s="131"/>
      <c r="BC137" s="131"/>
      <c r="BD137" s="131"/>
      <c r="BE137" s="131"/>
      <c r="BF137" s="131"/>
      <c r="BG137" s="131"/>
      <c r="BH137" s="131"/>
      <c r="BI137" s="131"/>
      <c r="BJ137" s="131"/>
      <c r="BK137" s="131"/>
      <c r="BL137" s="131"/>
      <c r="BM137" s="131"/>
      <c r="BN137" s="131"/>
      <c r="BO137" s="131"/>
      <c r="BP137" s="131"/>
      <c r="BQ137" s="131"/>
      <c r="BR137" s="131"/>
      <c r="BS137" s="131"/>
      <c r="BT137" s="131"/>
      <c r="BU137" s="131"/>
      <c r="BV137" s="131"/>
      <c r="BW137" s="131"/>
      <c r="BX137" s="131"/>
      <c r="BY137" s="131"/>
      <c r="BZ137" s="131"/>
      <c r="CA137" s="131"/>
      <c r="CB137" s="131"/>
      <c r="CC137" s="131"/>
      <c r="CD137" s="131"/>
      <c r="CE137" s="131"/>
      <c r="CF137" s="131"/>
      <c r="CG137" s="131"/>
      <c r="CH137" s="131"/>
      <c r="CI137" s="131"/>
      <c r="CJ137" s="131"/>
      <c r="CK137" s="141"/>
      <c r="CL137" s="94"/>
      <c r="CM137" s="13"/>
      <c r="CN137" s="13"/>
      <c r="CO137" s="13"/>
      <c r="CP137" s="13"/>
      <c r="CQ137" s="13"/>
      <c r="CR137" s="146"/>
      <c r="CS137" s="149"/>
    </row>
    <row r="138" spans="1:97" ht="15" customHeight="1" x14ac:dyDescent="0.25">
      <c r="A138" s="92"/>
      <c r="B138" s="26" t="s">
        <v>229</v>
      </c>
      <c r="C138" s="93" t="s">
        <v>190</v>
      </c>
      <c r="D138" s="10">
        <v>2</v>
      </c>
      <c r="E138" s="10">
        <v>5</v>
      </c>
      <c r="F138" s="10"/>
      <c r="G138" s="10"/>
      <c r="H138" s="10">
        <v>1</v>
      </c>
      <c r="I138" s="10"/>
      <c r="J138" s="10"/>
      <c r="K138" s="10"/>
      <c r="L138" s="10"/>
      <c r="M138" s="10">
        <v>1</v>
      </c>
      <c r="N138" s="10"/>
      <c r="O138" s="10"/>
      <c r="P138" s="10"/>
      <c r="Q138" s="10"/>
      <c r="R138" s="10">
        <v>1</v>
      </c>
      <c r="S138" s="10"/>
      <c r="T138" s="10"/>
      <c r="U138" s="10"/>
      <c r="V138" s="10"/>
      <c r="W138" s="10">
        <v>1</v>
      </c>
      <c r="X138" s="10"/>
      <c r="Y138" s="10">
        <v>1</v>
      </c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>
        <v>1</v>
      </c>
      <c r="AL138" s="10"/>
      <c r="AM138" s="10">
        <v>1</v>
      </c>
      <c r="AN138" s="10"/>
      <c r="AO138" s="10"/>
      <c r="AP138" s="10"/>
      <c r="AQ138" s="10">
        <v>1</v>
      </c>
      <c r="AR138" s="10"/>
      <c r="AS138" s="10"/>
      <c r="AT138" s="10">
        <v>1</v>
      </c>
      <c r="AU138" s="10"/>
      <c r="AV138" s="10">
        <v>1</v>
      </c>
      <c r="AW138" s="10">
        <v>2</v>
      </c>
      <c r="AX138" s="10">
        <v>1</v>
      </c>
      <c r="AY138" s="10">
        <v>1</v>
      </c>
      <c r="AZ138" s="10">
        <v>1</v>
      </c>
      <c r="BA138" s="10"/>
      <c r="BB138" s="10"/>
      <c r="BC138" s="10"/>
      <c r="BD138" s="10"/>
      <c r="BE138" s="10"/>
      <c r="BF138" s="10"/>
      <c r="BG138" s="10"/>
      <c r="BH138" s="10"/>
      <c r="BI138" s="10"/>
      <c r="BJ138" s="10">
        <v>1</v>
      </c>
      <c r="BK138" s="10"/>
      <c r="BL138" s="10"/>
      <c r="BM138" s="10"/>
      <c r="BN138" s="10"/>
      <c r="BO138" s="10">
        <v>1</v>
      </c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>
        <v>3</v>
      </c>
      <c r="CD138" s="10"/>
      <c r="CE138" s="10">
        <v>2</v>
      </c>
      <c r="CF138" s="10"/>
      <c r="CG138" s="10">
        <v>3</v>
      </c>
      <c r="CH138" s="10"/>
      <c r="CI138" s="10"/>
      <c r="CJ138" s="10"/>
      <c r="CK138" s="138">
        <f t="shared" ref="CK138:CK143" si="46">SUM(D138:CJ138)</f>
        <v>32</v>
      </c>
      <c r="CL138" s="94"/>
      <c r="CM138" s="13"/>
      <c r="CN138" s="13"/>
      <c r="CO138" s="13"/>
      <c r="CP138" s="13"/>
      <c r="CQ138" s="13"/>
      <c r="CR138" s="146"/>
      <c r="CS138" s="149"/>
    </row>
    <row r="139" spans="1:97" ht="15" customHeight="1" x14ac:dyDescent="0.25">
      <c r="A139" s="92"/>
      <c r="B139" s="26" t="s">
        <v>234</v>
      </c>
      <c r="C139" s="93" t="s">
        <v>190</v>
      </c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>
        <v>1</v>
      </c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>
        <v>2</v>
      </c>
      <c r="AS139" s="10"/>
      <c r="AT139" s="10"/>
      <c r="AU139" s="10"/>
      <c r="AV139" s="10"/>
      <c r="AW139" s="10"/>
      <c r="AX139" s="10"/>
      <c r="AY139" s="10"/>
      <c r="AZ139" s="10">
        <v>1</v>
      </c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38">
        <f t="shared" si="46"/>
        <v>4</v>
      </c>
      <c r="CL139" s="94"/>
      <c r="CM139" s="13"/>
      <c r="CN139" s="13"/>
      <c r="CO139" s="13"/>
      <c r="CP139" s="13"/>
      <c r="CQ139" s="13"/>
      <c r="CR139" s="146"/>
      <c r="CS139" s="149"/>
    </row>
    <row r="140" spans="1:97" x14ac:dyDescent="0.25">
      <c r="A140" s="92"/>
      <c r="B140" s="26" t="s">
        <v>230</v>
      </c>
      <c r="C140" s="93" t="s">
        <v>190</v>
      </c>
      <c r="D140" s="10">
        <v>1</v>
      </c>
      <c r="E140" s="10"/>
      <c r="F140" s="10"/>
      <c r="G140" s="10"/>
      <c r="H140" s="10"/>
      <c r="I140" s="10">
        <v>1</v>
      </c>
      <c r="J140" s="10">
        <v>2</v>
      </c>
      <c r="K140" s="10"/>
      <c r="L140" s="10"/>
      <c r="M140" s="10"/>
      <c r="N140" s="10">
        <v>1</v>
      </c>
      <c r="O140" s="10">
        <v>2</v>
      </c>
      <c r="P140" s="10"/>
      <c r="Q140" s="10"/>
      <c r="R140" s="10"/>
      <c r="S140" s="10">
        <v>2</v>
      </c>
      <c r="T140" s="10">
        <v>2</v>
      </c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38">
        <f t="shared" si="46"/>
        <v>11</v>
      </c>
      <c r="CL140" s="94"/>
      <c r="CM140" s="13"/>
      <c r="CN140" s="13"/>
      <c r="CO140" s="13"/>
      <c r="CP140" s="13"/>
      <c r="CQ140" s="13"/>
      <c r="CR140" s="146"/>
      <c r="CS140" s="149"/>
    </row>
    <row r="141" spans="1:97" x14ac:dyDescent="0.25">
      <c r="A141" s="92"/>
      <c r="B141" s="26" t="s">
        <v>231</v>
      </c>
      <c r="C141" s="93" t="s">
        <v>190</v>
      </c>
      <c r="D141" s="10"/>
      <c r="E141" s="10"/>
      <c r="F141" s="10"/>
      <c r="G141" s="10"/>
      <c r="H141" s="10"/>
      <c r="I141" s="10">
        <v>1</v>
      </c>
      <c r="J141" s="10">
        <v>2</v>
      </c>
      <c r="K141" s="10"/>
      <c r="L141" s="10"/>
      <c r="M141" s="10"/>
      <c r="N141" s="10">
        <v>1</v>
      </c>
      <c r="O141" s="10">
        <v>2</v>
      </c>
      <c r="P141" s="10"/>
      <c r="Q141" s="10"/>
      <c r="R141" s="10"/>
      <c r="S141" s="10"/>
      <c r="T141" s="10">
        <v>1</v>
      </c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38">
        <f t="shared" si="46"/>
        <v>7</v>
      </c>
      <c r="CL141" s="94"/>
      <c r="CM141" s="13"/>
      <c r="CN141" s="13"/>
      <c r="CO141" s="13"/>
      <c r="CP141" s="13"/>
      <c r="CQ141" s="13"/>
      <c r="CR141" s="146"/>
      <c r="CS141" s="149"/>
    </row>
    <row r="142" spans="1:97" x14ac:dyDescent="0.25">
      <c r="A142" s="92"/>
      <c r="B142" s="26" t="s">
        <v>232</v>
      </c>
      <c r="C142" s="93" t="s">
        <v>190</v>
      </c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>
        <v>2</v>
      </c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38">
        <f t="shared" si="46"/>
        <v>2</v>
      </c>
      <c r="CL142" s="94"/>
      <c r="CM142" s="13"/>
      <c r="CN142" s="13"/>
      <c r="CO142" s="13"/>
      <c r="CP142" s="13"/>
      <c r="CQ142" s="13"/>
      <c r="CR142" s="146"/>
      <c r="CS142" s="149"/>
    </row>
    <row r="143" spans="1:97" x14ac:dyDescent="0.25">
      <c r="A143" s="92"/>
      <c r="B143" s="26" t="s">
        <v>233</v>
      </c>
      <c r="C143" s="93" t="s">
        <v>190</v>
      </c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>
        <v>2</v>
      </c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38">
        <f t="shared" si="46"/>
        <v>2</v>
      </c>
      <c r="CL143" s="94"/>
      <c r="CM143" s="13"/>
      <c r="CN143" s="13"/>
      <c r="CO143" s="13"/>
      <c r="CP143" s="13"/>
      <c r="CQ143" s="13"/>
      <c r="CR143" s="146"/>
      <c r="CS143" s="149"/>
    </row>
    <row r="144" spans="1:97" x14ac:dyDescent="0.25">
      <c r="A144" s="92"/>
      <c r="B144" s="26" t="s">
        <v>235</v>
      </c>
      <c r="C144" s="93" t="s">
        <v>190</v>
      </c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>
        <v>3</v>
      </c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38">
        <f t="shared" ref="CK144:CK145" si="47">SUM(D144:CJ144)</f>
        <v>3</v>
      </c>
      <c r="CL144" s="94"/>
      <c r="CM144" s="13"/>
      <c r="CN144" s="13"/>
      <c r="CO144" s="13"/>
      <c r="CP144" s="13"/>
      <c r="CQ144" s="13"/>
      <c r="CR144" s="146"/>
      <c r="CS144" s="149"/>
    </row>
    <row r="145" spans="1:97" x14ac:dyDescent="0.25">
      <c r="A145" s="92"/>
      <c r="B145" s="26" t="s">
        <v>236</v>
      </c>
      <c r="C145" s="93" t="s">
        <v>190</v>
      </c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>
        <v>1</v>
      </c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38">
        <f t="shared" si="47"/>
        <v>1</v>
      </c>
      <c r="CL145" s="94"/>
      <c r="CM145" s="13"/>
      <c r="CN145" s="13"/>
      <c r="CO145" s="13"/>
      <c r="CP145" s="13"/>
      <c r="CQ145" s="13"/>
      <c r="CR145" s="146"/>
      <c r="CS145" s="149"/>
    </row>
    <row r="146" spans="1:97" x14ac:dyDescent="0.25">
      <c r="CR146" s="146"/>
      <c r="CS146" s="149"/>
    </row>
    <row r="147" spans="1:97" x14ac:dyDescent="0.25">
      <c r="B147" s="1" t="s">
        <v>276</v>
      </c>
      <c r="X147" s="133"/>
      <c r="Y147" s="133"/>
      <c r="CR147" s="146"/>
      <c r="CS147" s="149"/>
    </row>
    <row r="148" spans="1:97" x14ac:dyDescent="0.25">
      <c r="X148" s="133"/>
      <c r="Y148" s="133"/>
      <c r="CR148" s="146"/>
      <c r="CS148" s="149"/>
    </row>
    <row r="149" spans="1:97" x14ac:dyDescent="0.25">
      <c r="X149" s="133"/>
      <c r="Y149" s="133"/>
    </row>
    <row r="150" spans="1:97" x14ac:dyDescent="0.25">
      <c r="X150" s="133"/>
      <c r="Y150" s="133"/>
    </row>
    <row r="151" spans="1:97" x14ac:dyDescent="0.25">
      <c r="X151" s="133"/>
      <c r="Y151" s="133"/>
    </row>
    <row r="152" spans="1:97" x14ac:dyDescent="0.25">
      <c r="X152" s="133"/>
      <c r="Y152" s="133"/>
    </row>
    <row r="153" spans="1:97" x14ac:dyDescent="0.25">
      <c r="X153" s="133"/>
      <c r="Y153" s="133"/>
    </row>
  </sheetData>
  <mergeCells count="42">
    <mergeCell ref="BT75:BU75"/>
    <mergeCell ref="BT69:BU69"/>
    <mergeCell ref="BT70:BU70"/>
    <mergeCell ref="BT71:BU71"/>
    <mergeCell ref="BT72:BU72"/>
    <mergeCell ref="BT74:BU74"/>
    <mergeCell ref="CO7:CO9"/>
    <mergeCell ref="CS7:CS9"/>
    <mergeCell ref="D8:H8"/>
    <mergeCell ref="I8:M8"/>
    <mergeCell ref="N8:R8"/>
    <mergeCell ref="AO8:AR8"/>
    <mergeCell ref="AS8:BL8"/>
    <mergeCell ref="S8:W8"/>
    <mergeCell ref="X8:AI8"/>
    <mergeCell ref="AJ8:AN8"/>
    <mergeCell ref="CN7:CN9"/>
    <mergeCell ref="CP7:CP9"/>
    <mergeCell ref="CQ7:CQ9"/>
    <mergeCell ref="CK7:CK9"/>
    <mergeCell ref="CL4:CM4"/>
    <mergeCell ref="CL5:CM5"/>
    <mergeCell ref="CL6:CM6"/>
    <mergeCell ref="A7:A9"/>
    <mergeCell ref="B7:B9"/>
    <mergeCell ref="CL7:CL9"/>
    <mergeCell ref="CM7:CM9"/>
    <mergeCell ref="BM8:CJ8"/>
    <mergeCell ref="C7:C9"/>
    <mergeCell ref="A1:CQ1"/>
    <mergeCell ref="A2:CQ2"/>
    <mergeCell ref="A3:CQ3"/>
    <mergeCell ref="A12:A18"/>
    <mergeCell ref="A20:A26"/>
    <mergeCell ref="A37:A42"/>
    <mergeCell ref="A52:A58"/>
    <mergeCell ref="A44:A50"/>
    <mergeCell ref="A92:A94"/>
    <mergeCell ref="A88:A89"/>
    <mergeCell ref="A77:A81"/>
    <mergeCell ref="A69:A74"/>
    <mergeCell ref="A60:A66"/>
  </mergeCells>
  <phoneticPr fontId="8" type="noConversion"/>
  <pageMargins left="0.70866141732283472" right="0.70866141732283472" top="0.74803149606299213" bottom="0.74803149606299213" header="0.31496062992125984" footer="0.31496062992125984"/>
  <pageSetup paperSize="4401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ДОУ 6 кв</vt:lpstr>
      <vt:lpstr>'ДОУ 6 кв'!Область_печати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IgnatevaAO</dc:creator>
  <cp:lastModifiedBy>LahtionovDV</cp:lastModifiedBy>
  <cp:lastPrinted>2022-02-18T07:44:33Z</cp:lastPrinted>
  <dcterms:created xsi:type="dcterms:W3CDTF">2015-06-05T18:19:34Z</dcterms:created>
  <dcterms:modified xsi:type="dcterms:W3CDTF">2026-03-13T11:39:38Z</dcterms:modified>
</cp:coreProperties>
</file>